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omments4.xml" ContentType="application/vnd.openxmlformats-officedocument.spreadsheetml.comments+xml"/>
  <Override PartName="/xl/worksheets/sheet4.xml" ContentType="application/vnd.openxmlformats-officedocument.spreadsheetml.worksheet+xml"/>
  <Override PartName="/xl/comments5.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5456" windowHeight="9696" tabRatio="833" activeTab="2"/>
  </bookViews>
  <sheets>
    <sheet name="READ ME" sheetId="1" r:id="rId1"/>
    <sheet name="Data fig 6.9" sheetId="2" r:id="rId2"/>
    <sheet name="SA ALL wo Iraq" sheetId="3" r:id="rId3"/>
    <sheet name="Descriptive" sheetId="4" r:id="rId4"/>
    <sheet name="DATA" sheetId="5" r:id="rId5"/>
    <sheet name="Country Stats Govt" sheetId="6" state="hidden" r:id="rId6"/>
    <sheet name="Country Stats sectors" sheetId="7" state="hidden" r:id="rId7"/>
    <sheet name="sorted by SA" sheetId="8" state="hidden" r:id="rId8"/>
    <sheet name="sorted by SI" sheetId="9" state="hidden" r:id="rId9"/>
    <sheet name="sorted by SP" sheetId="10" state="hidden" r:id="rId10"/>
    <sheet name="regional" sheetId="11" state="hidden" r:id="rId11"/>
    <sheet name="REG avg" sheetId="12" state="hidden" r:id="rId12"/>
    <sheet name="regional wo Iraq" sheetId="13" state="hidden" r:id="rId13"/>
    <sheet name="REG avg wo Iraq" sheetId="14" state="hidden" r:id="rId14"/>
  </sheets>
  <definedNames>
    <definedName name="_xlnm._FilterDatabase" localSheetId="6" hidden="1">'Country Stats sectors'!$A$1:$P$1409</definedName>
    <definedName name="_xlnm._FilterDatabase" localSheetId="4" hidden="1">'DATA'!$A$1:$M$88</definedName>
    <definedName name="_xlnm._FilterDatabase" localSheetId="3" hidden="1">'Descriptive'!$B$1:$K$94</definedName>
    <definedName name="_xlnm._FilterDatabase" localSheetId="7" hidden="1">'sorted by SA'!$B$1:$G$88</definedName>
    <definedName name="_xlnm._FilterDatabase" localSheetId="8" hidden="1">'sorted by SI'!$B$1:$G$88</definedName>
    <definedName name="_xlnm._FilterDatabase" localSheetId="9" hidden="1">'sorted by SP'!$B$1:$G$75</definedName>
    <definedName name="_xlnm.Print_Titles" localSheetId="4">'DATA'!$1:$1</definedName>
    <definedName name="_xlnm.Print_Titles" localSheetId="1">'Data fig 6.9'!$4:$4</definedName>
    <definedName name="_xlnm.Print_Titles" localSheetId="3">'Descriptive'!$1:$1</definedName>
    <definedName name="_xlnm.Print_Titles" localSheetId="10">'regional'!$1:$1</definedName>
    <definedName name="_xlnm.Print_Titles" localSheetId="12">'regional wo Iraq'!$1:$1</definedName>
    <definedName name="_xlnm.Print_Titles" localSheetId="7">'sorted by SA'!$1:$1</definedName>
    <definedName name="_xlnm.Print_Titles" localSheetId="8">'sorted by SI'!$1:$1</definedName>
    <definedName name="_xlnm.Print_Titles" localSheetId="9">'sorted by SP'!$1:$1</definedName>
    <definedName name="SPSS">#REF!</definedName>
    <definedName name="_xlnm.Print_Area" localSheetId="4">'DATA'!$A$1:$M$88</definedName>
    <definedName name="_xlnm.Print_Area" localSheetId="1">'Data fig 6.9'!$A$1:$G$93</definedName>
    <definedName name="_xlnm.Print_Area" localSheetId="3">'Descriptive'!$B$1:$J$94</definedName>
    <definedName name="_xlnm.Print_Area" localSheetId="0">'READ ME'!$A$1:$I$53</definedName>
    <definedName name="_xlnm.Print_Area" localSheetId="10">'regional'!$B$1:$G$69</definedName>
    <definedName name="_xlnm.Print_Area" localSheetId="12">'regional wo Iraq'!$B$1:$G$69</definedName>
    <definedName name="_xlnm.Print_Area" localSheetId="7">'sorted by SA'!$B$1:$G$56</definedName>
    <definedName name="_xlnm.Print_Area" localSheetId="8">'sorted by SI'!$B$1:$G$75</definedName>
    <definedName name="_xlnm.Print_Area" localSheetId="9">'sorted by SP'!$B$1:$G$75</definedName>
  </definedNames>
  <calcPr fullCalcOnLoad="1"/>
</workbook>
</file>

<file path=xl/comments2.xml><?xml version="1.0" encoding="utf-8"?>
<comments xmlns="http://schemas.openxmlformats.org/spreadsheetml/2006/main">
  <authors>
    <author>wb233123</author>
  </authors>
  <commentList>
    <comment ref="D6" authorId="0">
      <text>
        <r>
          <rPr>
            <b/>
            <sz val="8"/>
            <rFont val="Tahoma"/>
            <family val="2"/>
          </rPr>
          <t>wb233123:</t>
        </r>
        <r>
          <rPr>
            <sz val="8"/>
            <rFont val="Tahoma"/>
            <family val="2"/>
          </rPr>
          <t xml:space="preserve">
0.58 including support to farmers in drought (emergency food and materials)</t>
        </r>
      </text>
    </comment>
    <comment ref="B34" authorId="0">
      <text>
        <r>
          <rPr>
            <b/>
            <sz val="8"/>
            <rFont val="Tahoma"/>
            <family val="2"/>
          </rPr>
          <t>wb233123:</t>
        </r>
        <r>
          <rPr>
            <sz val="8"/>
            <rFont val="Tahoma"/>
            <family val="2"/>
          </rPr>
          <t xml:space="preserve">
without admin costs of 0.2%</t>
        </r>
      </text>
    </comment>
    <comment ref="C12" authorId="0">
      <text>
        <r>
          <rPr>
            <b/>
            <sz val="8"/>
            <rFont val="Tahoma"/>
            <family val="2"/>
          </rPr>
          <t>wb233123:</t>
        </r>
        <r>
          <rPr>
            <sz val="8"/>
            <rFont val="Tahoma"/>
            <family val="2"/>
          </rPr>
          <t xml:space="preserve">
2001</t>
        </r>
      </text>
    </comment>
  </commentList>
</comments>
</file>

<file path=xl/comments4.xml><?xml version="1.0" encoding="utf-8"?>
<comments xmlns="http://schemas.openxmlformats.org/spreadsheetml/2006/main">
  <authors>
    <author>wb233123</author>
    <author>Christine Weigand</author>
  </authors>
  <commentList>
    <comment ref="B23" authorId="0">
      <text>
        <r>
          <rPr>
            <b/>
            <sz val="8"/>
            <rFont val="Tahoma"/>
            <family val="2"/>
          </rPr>
          <t>wb233123:</t>
        </r>
        <r>
          <rPr>
            <sz val="8"/>
            <rFont val="Tahoma"/>
            <family val="2"/>
          </rPr>
          <t xml:space="preserve">
without admin costs of 0.2%</t>
        </r>
      </text>
    </comment>
    <comment ref="C67" authorId="0">
      <text>
        <r>
          <rPr>
            <b/>
            <sz val="8"/>
            <rFont val="Tahoma"/>
            <family val="2"/>
          </rPr>
          <t>wb233123:</t>
        </r>
        <r>
          <rPr>
            <sz val="8"/>
            <rFont val="Tahoma"/>
            <family val="2"/>
          </rPr>
          <t xml:space="preserve">
2001</t>
        </r>
      </text>
    </comment>
    <comment ref="D10" authorId="0">
      <text>
        <r>
          <rPr>
            <b/>
            <sz val="8"/>
            <rFont val="Tahoma"/>
            <family val="2"/>
          </rPr>
          <t>wb233123:</t>
        </r>
        <r>
          <rPr>
            <sz val="8"/>
            <rFont val="Tahoma"/>
            <family val="2"/>
          </rPr>
          <t xml:space="preserve">
0.58 including support to farmers in drought (emergency food and materials)</t>
        </r>
      </text>
    </comment>
    <comment ref="B44" authorId="1">
      <text>
        <r>
          <rPr>
            <b/>
            <sz val="8"/>
            <rFont val="Tahoma"/>
            <family val="2"/>
          </rPr>
          <t>Christine Weigand:</t>
        </r>
        <r>
          <rPr>
            <sz val="8"/>
            <rFont val="Tahoma"/>
            <family val="2"/>
          </rPr>
          <t xml:space="preserve">
more recent PER and Poverty Assessment update but not with all numbers available (and the ones they had were similar)</t>
        </r>
      </text>
    </comment>
  </commentList>
</comments>
</file>

<file path=xl/comments5.xml><?xml version="1.0" encoding="utf-8"?>
<comments xmlns="http://schemas.openxmlformats.org/spreadsheetml/2006/main">
  <authors>
    <author>wb233123</author>
    <author>Christine Weigand</author>
  </authors>
  <commentList>
    <comment ref="B20" authorId="0">
      <text>
        <r>
          <rPr>
            <b/>
            <sz val="8"/>
            <rFont val="Tahoma"/>
            <family val="2"/>
          </rPr>
          <t>wb233123:</t>
        </r>
        <r>
          <rPr>
            <sz val="8"/>
            <rFont val="Tahoma"/>
            <family val="2"/>
          </rPr>
          <t xml:space="preserve">
without admin costs of 0.2%</t>
        </r>
      </text>
    </comment>
    <comment ref="C63" authorId="0">
      <text>
        <r>
          <rPr>
            <b/>
            <sz val="8"/>
            <rFont val="Tahoma"/>
            <family val="2"/>
          </rPr>
          <t>wb233123:</t>
        </r>
        <r>
          <rPr>
            <sz val="8"/>
            <rFont val="Tahoma"/>
            <family val="2"/>
          </rPr>
          <t xml:space="preserve">
2001</t>
        </r>
      </text>
    </comment>
    <comment ref="D9" authorId="0">
      <text>
        <r>
          <rPr>
            <b/>
            <sz val="8"/>
            <rFont val="Tahoma"/>
            <family val="2"/>
          </rPr>
          <t>wb233123:</t>
        </r>
        <r>
          <rPr>
            <sz val="8"/>
            <rFont val="Tahoma"/>
            <family val="2"/>
          </rPr>
          <t xml:space="preserve">
0.58 including support to farmers in drought (emergency food and materials)</t>
        </r>
      </text>
    </comment>
    <comment ref="H2" authorId="0">
      <text>
        <r>
          <rPr>
            <b/>
            <sz val="8"/>
            <rFont val="Tahoma"/>
            <family val="2"/>
          </rPr>
          <t>wb233123:</t>
        </r>
        <r>
          <rPr>
            <sz val="8"/>
            <rFont val="Tahoma"/>
            <family val="2"/>
          </rPr>
          <t xml:space="preserve">
2002</t>
        </r>
      </text>
    </comment>
    <comment ref="H3" authorId="0">
      <text>
        <r>
          <rPr>
            <b/>
            <sz val="8"/>
            <rFont val="Tahoma"/>
            <family val="2"/>
          </rPr>
          <t>wb233123:</t>
        </r>
        <r>
          <rPr>
            <sz val="8"/>
            <rFont val="Tahoma"/>
            <family val="2"/>
          </rPr>
          <t xml:space="preserve">
2005</t>
        </r>
      </text>
    </comment>
    <comment ref="H4" authorId="0">
      <text>
        <r>
          <rPr>
            <b/>
            <sz val="8"/>
            <rFont val="Tahoma"/>
            <family val="2"/>
          </rPr>
          <t>wb233123:</t>
        </r>
        <r>
          <rPr>
            <sz val="8"/>
            <rFont val="Tahoma"/>
            <family val="2"/>
          </rPr>
          <t xml:space="preserve">
2005</t>
        </r>
      </text>
    </comment>
    <comment ref="H6" authorId="0">
      <text>
        <r>
          <rPr>
            <b/>
            <sz val="8"/>
            <rFont val="Tahoma"/>
            <family val="2"/>
          </rPr>
          <t>wb233123:</t>
        </r>
        <r>
          <rPr>
            <sz val="8"/>
            <rFont val="Tahoma"/>
            <family val="2"/>
          </rPr>
          <t xml:space="preserve">
2001</t>
        </r>
      </text>
    </comment>
    <comment ref="H13" authorId="0">
      <text>
        <r>
          <rPr>
            <b/>
            <sz val="8"/>
            <rFont val="Tahoma"/>
            <family val="2"/>
          </rPr>
          <t>wb233123:</t>
        </r>
        <r>
          <rPr>
            <sz val="8"/>
            <rFont val="Tahoma"/>
            <family val="2"/>
          </rPr>
          <t xml:space="preserve">
2003</t>
        </r>
      </text>
    </comment>
    <comment ref="H17" authorId="0">
      <text>
        <r>
          <rPr>
            <b/>
            <sz val="8"/>
            <rFont val="Tahoma"/>
            <family val="2"/>
          </rPr>
          <t>wb233123:</t>
        </r>
        <r>
          <rPr>
            <sz val="8"/>
            <rFont val="Tahoma"/>
            <family val="2"/>
          </rPr>
          <t xml:space="preserve">
2004</t>
        </r>
      </text>
    </comment>
    <comment ref="H20" authorId="0">
      <text>
        <r>
          <rPr>
            <b/>
            <sz val="8"/>
            <rFont val="Tahoma"/>
            <family val="2"/>
          </rPr>
          <t>wb233123:</t>
        </r>
        <r>
          <rPr>
            <sz val="8"/>
            <rFont val="Tahoma"/>
            <family val="2"/>
          </rPr>
          <t xml:space="preserve">
2002</t>
        </r>
      </text>
    </comment>
    <comment ref="H21" authorId="0">
      <text>
        <r>
          <rPr>
            <b/>
            <sz val="8"/>
            <rFont val="Tahoma"/>
            <family val="2"/>
          </rPr>
          <t>wb233123:</t>
        </r>
        <r>
          <rPr>
            <sz val="8"/>
            <rFont val="Tahoma"/>
            <family val="2"/>
          </rPr>
          <t xml:space="preserve">
2001</t>
        </r>
      </text>
    </comment>
    <comment ref="H23" authorId="0">
      <text>
        <r>
          <rPr>
            <b/>
            <sz val="8"/>
            <rFont val="Tahoma"/>
            <family val="2"/>
          </rPr>
          <t>wb233123:</t>
        </r>
        <r>
          <rPr>
            <sz val="8"/>
            <rFont val="Tahoma"/>
            <family val="2"/>
          </rPr>
          <t xml:space="preserve">
2000</t>
        </r>
      </text>
    </comment>
    <comment ref="H25" authorId="0">
      <text>
        <r>
          <rPr>
            <b/>
            <sz val="8"/>
            <rFont val="Tahoma"/>
            <family val="2"/>
          </rPr>
          <t>wb233123:</t>
        </r>
        <r>
          <rPr>
            <sz val="8"/>
            <rFont val="Tahoma"/>
            <family val="2"/>
          </rPr>
          <t xml:space="preserve">
2003</t>
        </r>
      </text>
    </comment>
    <comment ref="H26" authorId="0">
      <text>
        <r>
          <rPr>
            <b/>
            <sz val="8"/>
            <rFont val="Tahoma"/>
            <family val="2"/>
          </rPr>
          <t>wb233123:</t>
        </r>
        <r>
          <rPr>
            <sz val="8"/>
            <rFont val="Tahoma"/>
            <family val="2"/>
          </rPr>
          <t xml:space="preserve">
2001</t>
        </r>
      </text>
    </comment>
    <comment ref="H33" authorId="0">
      <text>
        <r>
          <rPr>
            <b/>
            <sz val="8"/>
            <rFont val="Tahoma"/>
            <family val="2"/>
          </rPr>
          <t>wb233123:</t>
        </r>
        <r>
          <rPr>
            <sz val="8"/>
            <rFont val="Tahoma"/>
            <family val="2"/>
          </rPr>
          <t xml:space="preserve">
1999</t>
        </r>
      </text>
    </comment>
    <comment ref="H37" authorId="0">
      <text>
        <r>
          <rPr>
            <b/>
            <sz val="8"/>
            <rFont val="Tahoma"/>
            <family val="2"/>
          </rPr>
          <t>wb233123:</t>
        </r>
        <r>
          <rPr>
            <sz val="8"/>
            <rFont val="Tahoma"/>
            <family val="2"/>
          </rPr>
          <t xml:space="preserve">
2004</t>
        </r>
      </text>
    </comment>
    <comment ref="H51" authorId="0">
      <text>
        <r>
          <rPr>
            <b/>
            <sz val="8"/>
            <rFont val="Tahoma"/>
            <family val="2"/>
          </rPr>
          <t>wb233123:</t>
        </r>
        <r>
          <rPr>
            <sz val="8"/>
            <rFont val="Tahoma"/>
            <family val="2"/>
          </rPr>
          <t xml:space="preserve">
1999</t>
        </r>
      </text>
    </comment>
    <comment ref="H53" authorId="0">
      <text>
        <r>
          <rPr>
            <b/>
            <sz val="8"/>
            <rFont val="Tahoma"/>
            <family val="2"/>
          </rPr>
          <t>wb233123:</t>
        </r>
        <r>
          <rPr>
            <sz val="8"/>
            <rFont val="Tahoma"/>
            <family val="2"/>
          </rPr>
          <t xml:space="preserve">
2001</t>
        </r>
      </text>
    </comment>
    <comment ref="H55" authorId="0">
      <text>
        <r>
          <rPr>
            <b/>
            <sz val="8"/>
            <rFont val="Tahoma"/>
            <family val="2"/>
          </rPr>
          <t>wb233123:</t>
        </r>
        <r>
          <rPr>
            <sz val="8"/>
            <rFont val="Tahoma"/>
            <family val="2"/>
          </rPr>
          <t xml:space="preserve">
2003</t>
        </r>
      </text>
    </comment>
    <comment ref="H62" authorId="0">
      <text>
        <r>
          <rPr>
            <b/>
            <sz val="8"/>
            <rFont val="Tahoma"/>
            <family val="2"/>
          </rPr>
          <t>wb233123:</t>
        </r>
        <r>
          <rPr>
            <sz val="8"/>
            <rFont val="Tahoma"/>
            <family val="2"/>
          </rPr>
          <t xml:space="preserve">
2004</t>
        </r>
      </text>
    </comment>
    <comment ref="H68" authorId="0">
      <text>
        <r>
          <rPr>
            <b/>
            <sz val="8"/>
            <rFont val="Tahoma"/>
            <family val="2"/>
          </rPr>
          <t>wb233123:</t>
        </r>
        <r>
          <rPr>
            <sz val="8"/>
            <rFont val="Tahoma"/>
            <family val="2"/>
          </rPr>
          <t xml:space="preserve">
2004</t>
        </r>
      </text>
    </comment>
    <comment ref="H72" authorId="0">
      <text>
        <r>
          <rPr>
            <b/>
            <sz val="8"/>
            <rFont val="Tahoma"/>
            <family val="2"/>
          </rPr>
          <t>wb233123:</t>
        </r>
        <r>
          <rPr>
            <sz val="8"/>
            <rFont val="Tahoma"/>
            <family val="2"/>
          </rPr>
          <t xml:space="preserve">
2004</t>
        </r>
      </text>
    </comment>
    <comment ref="H76" authorId="0">
      <text>
        <r>
          <rPr>
            <b/>
            <sz val="8"/>
            <rFont val="Tahoma"/>
            <family val="2"/>
          </rPr>
          <t>wb233123:</t>
        </r>
        <r>
          <rPr>
            <sz val="8"/>
            <rFont val="Tahoma"/>
            <family val="2"/>
          </rPr>
          <t xml:space="preserve">
1999</t>
        </r>
      </text>
    </comment>
    <comment ref="H77" authorId="0">
      <text>
        <r>
          <rPr>
            <b/>
            <sz val="8"/>
            <rFont val="Tahoma"/>
            <family val="2"/>
          </rPr>
          <t>wb233123:</t>
        </r>
        <r>
          <rPr>
            <sz val="8"/>
            <rFont val="Tahoma"/>
            <family val="2"/>
          </rPr>
          <t xml:space="preserve">
2001</t>
        </r>
      </text>
    </comment>
    <comment ref="H79" authorId="0">
      <text>
        <r>
          <rPr>
            <b/>
            <sz val="8"/>
            <rFont val="Tahoma"/>
            <family val="2"/>
          </rPr>
          <t>wb233123:</t>
        </r>
        <r>
          <rPr>
            <sz val="8"/>
            <rFont val="Tahoma"/>
            <family val="2"/>
          </rPr>
          <t xml:space="preserve">
1999</t>
        </r>
      </text>
    </comment>
    <comment ref="H83" authorId="0">
      <text>
        <r>
          <rPr>
            <b/>
            <sz val="8"/>
            <rFont val="Tahoma"/>
            <family val="2"/>
          </rPr>
          <t>wb233123:</t>
        </r>
        <r>
          <rPr>
            <sz val="8"/>
            <rFont val="Tahoma"/>
            <family val="2"/>
          </rPr>
          <t xml:space="preserve">
2000</t>
        </r>
      </text>
    </comment>
    <comment ref="I3" authorId="0">
      <text>
        <r>
          <rPr>
            <b/>
            <sz val="8"/>
            <rFont val="Tahoma"/>
            <family val="2"/>
          </rPr>
          <t>wb233123:</t>
        </r>
        <r>
          <rPr>
            <sz val="8"/>
            <rFont val="Tahoma"/>
            <family val="2"/>
          </rPr>
          <t xml:space="preserve">
2000</t>
        </r>
      </text>
    </comment>
    <comment ref="I7" authorId="0">
      <text>
        <r>
          <rPr>
            <b/>
            <sz val="8"/>
            <rFont val="Tahoma"/>
            <family val="2"/>
          </rPr>
          <t>wb233123:</t>
        </r>
        <r>
          <rPr>
            <sz val="8"/>
            <rFont val="Tahoma"/>
            <family val="2"/>
          </rPr>
          <t xml:space="preserve">
2000</t>
        </r>
      </text>
    </comment>
    <comment ref="I13" authorId="0">
      <text>
        <r>
          <rPr>
            <b/>
            <sz val="8"/>
            <rFont val="Tahoma"/>
            <family val="2"/>
          </rPr>
          <t>wb233123:</t>
        </r>
        <r>
          <rPr>
            <sz val="8"/>
            <rFont val="Tahoma"/>
            <family val="2"/>
          </rPr>
          <t xml:space="preserve">
2004</t>
        </r>
      </text>
    </comment>
    <comment ref="I14" authorId="0">
      <text>
        <r>
          <rPr>
            <b/>
            <sz val="8"/>
            <rFont val="Tahoma"/>
            <family val="2"/>
          </rPr>
          <t>wb233123:</t>
        </r>
        <r>
          <rPr>
            <sz val="8"/>
            <rFont val="Tahoma"/>
            <family val="2"/>
          </rPr>
          <t xml:space="preserve">
2000</t>
        </r>
      </text>
    </comment>
    <comment ref="I15" authorId="0">
      <text>
        <r>
          <rPr>
            <b/>
            <sz val="8"/>
            <rFont val="Tahoma"/>
            <family val="2"/>
          </rPr>
          <t>wb233123:</t>
        </r>
        <r>
          <rPr>
            <sz val="8"/>
            <rFont val="Tahoma"/>
            <family val="2"/>
          </rPr>
          <t xml:space="preserve">
2000</t>
        </r>
      </text>
    </comment>
    <comment ref="I17" authorId="0">
      <text>
        <r>
          <rPr>
            <b/>
            <sz val="8"/>
            <rFont val="Tahoma"/>
            <family val="2"/>
          </rPr>
          <t>wb233123:</t>
        </r>
        <r>
          <rPr>
            <sz val="8"/>
            <rFont val="Tahoma"/>
            <family val="2"/>
          </rPr>
          <t xml:space="preserve">
2004</t>
        </r>
      </text>
    </comment>
    <comment ref="I19" authorId="0">
      <text>
        <r>
          <rPr>
            <b/>
            <sz val="8"/>
            <rFont val="Tahoma"/>
            <family val="2"/>
          </rPr>
          <t>wb233123:</t>
        </r>
        <r>
          <rPr>
            <sz val="8"/>
            <rFont val="Tahoma"/>
            <family val="2"/>
          </rPr>
          <t xml:space="preserve">
2000</t>
        </r>
      </text>
    </comment>
    <comment ref="I20" authorId="0">
      <text>
        <r>
          <rPr>
            <b/>
            <sz val="8"/>
            <rFont val="Tahoma"/>
            <family val="2"/>
          </rPr>
          <t>wb233123:</t>
        </r>
        <r>
          <rPr>
            <sz val="8"/>
            <rFont val="Tahoma"/>
            <family val="2"/>
          </rPr>
          <t xml:space="preserve">
2004</t>
        </r>
      </text>
    </comment>
    <comment ref="I83" authorId="0">
      <text>
        <r>
          <rPr>
            <b/>
            <sz val="8"/>
            <rFont val="Tahoma"/>
            <family val="2"/>
          </rPr>
          <t>wb233123:</t>
        </r>
        <r>
          <rPr>
            <sz val="8"/>
            <rFont val="Tahoma"/>
            <family val="2"/>
          </rPr>
          <t xml:space="preserve">
2000</t>
        </r>
      </text>
    </comment>
    <comment ref="I80" authorId="0">
      <text>
        <r>
          <rPr>
            <b/>
            <sz val="8"/>
            <rFont val="Tahoma"/>
            <family val="2"/>
          </rPr>
          <t>wb233123:</t>
        </r>
        <r>
          <rPr>
            <sz val="8"/>
            <rFont val="Tahoma"/>
            <family val="2"/>
          </rPr>
          <t xml:space="preserve">
2000</t>
        </r>
      </text>
    </comment>
    <comment ref="I79" authorId="0">
      <text>
        <r>
          <rPr>
            <b/>
            <sz val="8"/>
            <rFont val="Tahoma"/>
            <family val="2"/>
          </rPr>
          <t>wb233123:</t>
        </r>
        <r>
          <rPr>
            <sz val="8"/>
            <rFont val="Tahoma"/>
            <family val="2"/>
          </rPr>
          <t xml:space="preserve">
2000</t>
        </r>
      </text>
    </comment>
    <comment ref="I77" authorId="0">
      <text>
        <r>
          <rPr>
            <b/>
            <sz val="8"/>
            <rFont val="Tahoma"/>
            <family val="2"/>
          </rPr>
          <t>wb233123:</t>
        </r>
        <r>
          <rPr>
            <sz val="8"/>
            <rFont val="Tahoma"/>
            <family val="2"/>
          </rPr>
          <t xml:space="preserve">
2000</t>
        </r>
      </text>
    </comment>
    <comment ref="I69" authorId="0">
      <text>
        <r>
          <rPr>
            <b/>
            <sz val="8"/>
            <rFont val="Tahoma"/>
            <family val="2"/>
          </rPr>
          <t>wb233123:</t>
        </r>
        <r>
          <rPr>
            <sz val="8"/>
            <rFont val="Tahoma"/>
            <family val="2"/>
          </rPr>
          <t xml:space="preserve">
2000</t>
        </r>
      </text>
    </comment>
    <comment ref="I68" authorId="0">
      <text>
        <r>
          <rPr>
            <b/>
            <sz val="8"/>
            <rFont val="Tahoma"/>
            <family val="2"/>
          </rPr>
          <t>wb233123:</t>
        </r>
        <r>
          <rPr>
            <sz val="8"/>
            <rFont val="Tahoma"/>
            <family val="2"/>
          </rPr>
          <t xml:space="preserve">
2004</t>
        </r>
      </text>
    </comment>
    <comment ref="I64" authorId="0">
      <text>
        <r>
          <rPr>
            <b/>
            <sz val="8"/>
            <rFont val="Tahoma"/>
            <family val="2"/>
          </rPr>
          <t>wb233123:</t>
        </r>
        <r>
          <rPr>
            <sz val="8"/>
            <rFont val="Tahoma"/>
            <family val="2"/>
          </rPr>
          <t xml:space="preserve">
2004</t>
        </r>
      </text>
    </comment>
    <comment ref="I62" authorId="0">
      <text>
        <r>
          <rPr>
            <b/>
            <sz val="8"/>
            <rFont val="Tahoma"/>
            <family val="2"/>
          </rPr>
          <t>wb233123:</t>
        </r>
        <r>
          <rPr>
            <sz val="8"/>
            <rFont val="Tahoma"/>
            <family val="2"/>
          </rPr>
          <t xml:space="preserve">
2004</t>
        </r>
      </text>
    </comment>
    <comment ref="I59" authorId="0">
      <text>
        <r>
          <rPr>
            <b/>
            <sz val="8"/>
            <rFont val="Tahoma"/>
            <family val="2"/>
          </rPr>
          <t>wb233123:</t>
        </r>
        <r>
          <rPr>
            <sz val="8"/>
            <rFont val="Tahoma"/>
            <family val="2"/>
          </rPr>
          <t xml:space="preserve">
2004</t>
        </r>
      </text>
    </comment>
    <comment ref="I58" authorId="0">
      <text>
        <r>
          <rPr>
            <b/>
            <sz val="8"/>
            <rFont val="Tahoma"/>
            <family val="2"/>
          </rPr>
          <t>wb233123:</t>
        </r>
        <r>
          <rPr>
            <sz val="8"/>
            <rFont val="Tahoma"/>
            <family val="2"/>
          </rPr>
          <t xml:space="preserve">
2000</t>
        </r>
      </text>
    </comment>
    <comment ref="I37" authorId="0">
      <text>
        <r>
          <rPr>
            <b/>
            <sz val="8"/>
            <rFont val="Tahoma"/>
            <family val="2"/>
          </rPr>
          <t>wb233123:</t>
        </r>
        <r>
          <rPr>
            <sz val="8"/>
            <rFont val="Tahoma"/>
            <family val="2"/>
          </rPr>
          <t xml:space="preserve">
2004</t>
        </r>
      </text>
    </comment>
    <comment ref="M4" authorId="0">
      <text>
        <r>
          <rPr>
            <b/>
            <sz val="8"/>
            <rFont val="Tahoma"/>
            <family val="2"/>
          </rPr>
          <t>wb233123:</t>
        </r>
        <r>
          <rPr>
            <sz val="8"/>
            <rFont val="Tahoma"/>
            <family val="2"/>
          </rPr>
          <t xml:space="preserve">
2003</t>
        </r>
      </text>
    </comment>
    <comment ref="M5" authorId="0">
      <text>
        <r>
          <rPr>
            <b/>
            <sz val="8"/>
            <rFont val="Tahoma"/>
            <family val="2"/>
          </rPr>
          <t>wb233123:</t>
        </r>
        <r>
          <rPr>
            <sz val="8"/>
            <rFont val="Tahoma"/>
            <family val="2"/>
          </rPr>
          <t xml:space="preserve">
2000</t>
        </r>
      </text>
    </comment>
    <comment ref="M6" authorId="0">
      <text>
        <r>
          <rPr>
            <b/>
            <sz val="8"/>
            <rFont val="Tahoma"/>
            <family val="2"/>
          </rPr>
          <t>wb233123:</t>
        </r>
        <r>
          <rPr>
            <sz val="8"/>
            <rFont val="Tahoma"/>
            <family val="2"/>
          </rPr>
          <t xml:space="preserve">
2001</t>
        </r>
      </text>
    </comment>
    <comment ref="M7" authorId="0">
      <text>
        <r>
          <rPr>
            <b/>
            <sz val="8"/>
            <rFont val="Tahoma"/>
            <family val="2"/>
          </rPr>
          <t>wb233123:</t>
        </r>
        <r>
          <rPr>
            <sz val="8"/>
            <rFont val="Tahoma"/>
            <family val="2"/>
          </rPr>
          <t xml:space="preserve">
2004</t>
        </r>
      </text>
    </comment>
    <comment ref="M9" authorId="0">
      <text>
        <r>
          <rPr>
            <b/>
            <sz val="8"/>
            <rFont val="Tahoma"/>
            <family val="2"/>
          </rPr>
          <t>wb233123:</t>
        </r>
        <r>
          <rPr>
            <sz val="8"/>
            <rFont val="Tahoma"/>
            <family val="2"/>
          </rPr>
          <t xml:space="preserve">
2001</t>
        </r>
      </text>
    </comment>
    <comment ref="M10" authorId="0">
      <text>
        <r>
          <rPr>
            <b/>
            <sz val="8"/>
            <rFont val="Tahoma"/>
            <family val="2"/>
          </rPr>
          <t>wb233123:</t>
        </r>
        <r>
          <rPr>
            <sz val="8"/>
            <rFont val="Tahoma"/>
            <family val="2"/>
          </rPr>
          <t xml:space="preserve">
2000</t>
        </r>
      </text>
    </comment>
    <comment ref="M11" authorId="0">
      <text>
        <r>
          <rPr>
            <b/>
            <sz val="8"/>
            <rFont val="Tahoma"/>
            <family val="2"/>
          </rPr>
          <t>wb233123:</t>
        </r>
        <r>
          <rPr>
            <sz val="8"/>
            <rFont val="Tahoma"/>
            <family val="2"/>
          </rPr>
          <t xml:space="preserve">
2004</t>
        </r>
      </text>
    </comment>
    <comment ref="M13" authorId="0">
      <text>
        <r>
          <rPr>
            <b/>
            <sz val="8"/>
            <rFont val="Tahoma"/>
            <family val="2"/>
          </rPr>
          <t>wb233123:</t>
        </r>
        <r>
          <rPr>
            <sz val="8"/>
            <rFont val="Tahoma"/>
            <family val="2"/>
          </rPr>
          <t xml:space="preserve">
2002</t>
        </r>
      </text>
    </comment>
    <comment ref="M15" authorId="0">
      <text>
        <r>
          <rPr>
            <b/>
            <sz val="8"/>
            <rFont val="Tahoma"/>
            <family val="2"/>
          </rPr>
          <t>wb233123:</t>
        </r>
        <r>
          <rPr>
            <sz val="8"/>
            <rFont val="Tahoma"/>
            <family val="2"/>
          </rPr>
          <t xml:space="preserve">
1997</t>
        </r>
      </text>
    </comment>
    <comment ref="M16" authorId="0">
      <text>
        <r>
          <rPr>
            <b/>
            <sz val="8"/>
            <rFont val="Tahoma"/>
            <family val="2"/>
          </rPr>
          <t>wb233123:</t>
        </r>
        <r>
          <rPr>
            <sz val="8"/>
            <rFont val="Tahoma"/>
            <family val="2"/>
          </rPr>
          <t xml:space="preserve">
2002</t>
        </r>
      </text>
    </comment>
    <comment ref="M17" authorId="0">
      <text>
        <r>
          <rPr>
            <b/>
            <sz val="8"/>
            <rFont val="Tahoma"/>
            <family val="2"/>
          </rPr>
          <t>wb233123:</t>
        </r>
        <r>
          <rPr>
            <sz val="8"/>
            <rFont val="Tahoma"/>
            <family val="2"/>
          </rPr>
          <t xml:space="preserve">
2003</t>
        </r>
      </text>
    </comment>
    <comment ref="M18" authorId="0">
      <text>
        <r>
          <rPr>
            <b/>
            <sz val="8"/>
            <rFont val="Tahoma"/>
            <family val="2"/>
          </rPr>
          <t>wb233123:</t>
        </r>
        <r>
          <rPr>
            <sz val="8"/>
            <rFont val="Tahoma"/>
            <family val="2"/>
          </rPr>
          <t xml:space="preserve">
2000</t>
        </r>
      </text>
    </comment>
    <comment ref="M20" authorId="0">
      <text>
        <r>
          <rPr>
            <b/>
            <sz val="8"/>
            <rFont val="Tahoma"/>
            <family val="2"/>
          </rPr>
          <t>wb233123:</t>
        </r>
        <r>
          <rPr>
            <sz val="8"/>
            <rFont val="Tahoma"/>
            <family val="2"/>
          </rPr>
          <t xml:space="preserve">
2004</t>
        </r>
      </text>
    </comment>
    <comment ref="M21" authorId="0">
      <text>
        <r>
          <rPr>
            <b/>
            <sz val="8"/>
            <rFont val="Tahoma"/>
            <family val="2"/>
          </rPr>
          <t>wb233123:</t>
        </r>
        <r>
          <rPr>
            <sz val="8"/>
            <rFont val="Tahoma"/>
            <family val="2"/>
          </rPr>
          <t xml:space="preserve">
2003</t>
        </r>
      </text>
    </comment>
    <comment ref="M23" authorId="0">
      <text>
        <r>
          <rPr>
            <b/>
            <sz val="8"/>
            <rFont val="Tahoma"/>
            <family val="2"/>
          </rPr>
          <t>wb233123:</t>
        </r>
        <r>
          <rPr>
            <sz val="8"/>
            <rFont val="Tahoma"/>
            <family val="2"/>
          </rPr>
          <t xml:space="preserve">
2000</t>
        </r>
      </text>
    </comment>
    <comment ref="M24" authorId="0">
      <text>
        <r>
          <rPr>
            <b/>
            <sz val="8"/>
            <rFont val="Tahoma"/>
            <family val="2"/>
          </rPr>
          <t>wb233123:</t>
        </r>
        <r>
          <rPr>
            <sz val="8"/>
            <rFont val="Tahoma"/>
            <family val="2"/>
          </rPr>
          <t xml:space="preserve">
2001</t>
        </r>
      </text>
    </comment>
    <comment ref="M25" authorId="0">
      <text>
        <r>
          <rPr>
            <b/>
            <sz val="8"/>
            <rFont val="Tahoma"/>
            <family val="2"/>
          </rPr>
          <t>wb233123:</t>
        </r>
        <r>
          <rPr>
            <sz val="8"/>
            <rFont val="Tahoma"/>
            <family val="2"/>
          </rPr>
          <t xml:space="preserve">
2003</t>
        </r>
      </text>
    </comment>
    <comment ref="M26" authorId="0">
      <text>
        <r>
          <rPr>
            <b/>
            <sz val="8"/>
            <rFont val="Tahoma"/>
            <family val="2"/>
          </rPr>
          <t>wb233123:</t>
        </r>
        <r>
          <rPr>
            <sz val="8"/>
            <rFont val="Tahoma"/>
            <family val="2"/>
          </rPr>
          <t xml:space="preserve">
1999</t>
        </r>
      </text>
    </comment>
    <comment ref="M27" authorId="0">
      <text>
        <r>
          <rPr>
            <b/>
            <sz val="8"/>
            <rFont val="Tahoma"/>
            <family val="2"/>
          </rPr>
          <t>wb233123:</t>
        </r>
        <r>
          <rPr>
            <sz val="8"/>
            <rFont val="Tahoma"/>
            <family val="2"/>
          </rPr>
          <t xml:space="preserve">
1996</t>
        </r>
      </text>
    </comment>
    <comment ref="M28" authorId="0">
      <text>
        <r>
          <rPr>
            <b/>
            <sz val="8"/>
            <rFont val="Tahoma"/>
            <family val="2"/>
          </rPr>
          <t>wb233123:</t>
        </r>
        <r>
          <rPr>
            <sz val="8"/>
            <rFont val="Tahoma"/>
            <family val="2"/>
          </rPr>
          <t xml:space="preserve">
1999</t>
        </r>
      </text>
    </comment>
    <comment ref="M29" authorId="0">
      <text>
        <r>
          <rPr>
            <b/>
            <sz val="8"/>
            <rFont val="Tahoma"/>
            <family val="2"/>
          </rPr>
          <t>wb233123:</t>
        </r>
        <r>
          <rPr>
            <sz val="8"/>
            <rFont val="Tahoma"/>
            <family val="2"/>
          </rPr>
          <t xml:space="preserve">
2001</t>
        </r>
      </text>
    </comment>
    <comment ref="M32" authorId="0">
      <text>
        <r>
          <rPr>
            <b/>
            <sz val="8"/>
            <rFont val="Tahoma"/>
            <family val="2"/>
          </rPr>
          <t>wb233123:</t>
        </r>
        <r>
          <rPr>
            <sz val="8"/>
            <rFont val="Tahoma"/>
            <family val="2"/>
          </rPr>
          <t xml:space="preserve">
2003</t>
        </r>
      </text>
    </comment>
    <comment ref="M33" authorId="0">
      <text>
        <r>
          <rPr>
            <b/>
            <sz val="8"/>
            <rFont val="Tahoma"/>
            <family val="2"/>
          </rPr>
          <t>wb233123:</t>
        </r>
        <r>
          <rPr>
            <sz val="8"/>
            <rFont val="Tahoma"/>
            <family val="2"/>
          </rPr>
          <t xml:space="preserve">
1998</t>
        </r>
      </text>
    </comment>
    <comment ref="M34" authorId="0">
      <text>
        <r>
          <rPr>
            <b/>
            <sz val="8"/>
            <rFont val="Tahoma"/>
            <family val="2"/>
          </rPr>
          <t>wb233123:</t>
        </r>
        <r>
          <rPr>
            <sz val="8"/>
            <rFont val="Tahoma"/>
            <family val="2"/>
          </rPr>
          <t xml:space="preserve">
2003</t>
        </r>
      </text>
    </comment>
    <comment ref="M35" authorId="0">
      <text>
        <r>
          <rPr>
            <b/>
            <sz val="8"/>
            <rFont val="Tahoma"/>
            <family val="2"/>
          </rPr>
          <t>wb233123:</t>
        </r>
        <r>
          <rPr>
            <sz val="8"/>
            <rFont val="Tahoma"/>
            <family val="2"/>
          </rPr>
          <t xml:space="preserve">
1998</t>
        </r>
      </text>
    </comment>
    <comment ref="M36" authorId="0">
      <text>
        <r>
          <rPr>
            <b/>
            <sz val="8"/>
            <rFont val="Tahoma"/>
            <family val="2"/>
          </rPr>
          <t>wb233123:</t>
        </r>
        <r>
          <rPr>
            <sz val="8"/>
            <rFont val="Tahoma"/>
            <family val="2"/>
          </rPr>
          <t xml:space="preserve">
2003</t>
        </r>
      </text>
    </comment>
    <comment ref="M37" authorId="0">
      <text>
        <r>
          <rPr>
            <b/>
            <sz val="8"/>
            <rFont val="Tahoma"/>
            <family val="2"/>
          </rPr>
          <t>wb233123:</t>
        </r>
        <r>
          <rPr>
            <sz val="8"/>
            <rFont val="Tahoma"/>
            <family val="2"/>
          </rPr>
          <t xml:space="preserve">
2002</t>
        </r>
      </text>
    </comment>
    <comment ref="M40" authorId="0">
      <text>
        <r>
          <rPr>
            <b/>
            <sz val="8"/>
            <rFont val="Tahoma"/>
            <family val="2"/>
          </rPr>
          <t>wb233123:</t>
        </r>
        <r>
          <rPr>
            <sz val="8"/>
            <rFont val="Tahoma"/>
            <family val="2"/>
          </rPr>
          <t xml:space="preserve">
1996 only would be available</t>
        </r>
      </text>
    </comment>
    <comment ref="M41" authorId="0">
      <text>
        <r>
          <rPr>
            <b/>
            <sz val="8"/>
            <rFont val="Tahoma"/>
            <family val="2"/>
          </rPr>
          <t>wb233123:</t>
        </r>
        <r>
          <rPr>
            <sz val="8"/>
            <rFont val="Tahoma"/>
            <family val="2"/>
          </rPr>
          <t xml:space="preserve">
2003</t>
        </r>
      </text>
    </comment>
    <comment ref="M42" authorId="0">
      <text>
        <r>
          <rPr>
            <b/>
            <sz val="8"/>
            <rFont val="Tahoma"/>
            <family val="2"/>
          </rPr>
          <t>wb233123:</t>
        </r>
        <r>
          <rPr>
            <sz val="8"/>
            <rFont val="Tahoma"/>
            <family val="2"/>
          </rPr>
          <t xml:space="preserve">
2003</t>
        </r>
      </text>
    </comment>
    <comment ref="M44" authorId="0">
      <text>
        <r>
          <rPr>
            <b/>
            <sz val="8"/>
            <rFont val="Tahoma"/>
            <family val="2"/>
          </rPr>
          <t>wb233123:</t>
        </r>
        <r>
          <rPr>
            <sz val="8"/>
            <rFont val="Tahoma"/>
            <family val="2"/>
          </rPr>
          <t xml:space="preserve">
1998</t>
        </r>
      </text>
    </comment>
    <comment ref="M49" authorId="0">
      <text>
        <r>
          <rPr>
            <b/>
            <sz val="8"/>
            <rFont val="Tahoma"/>
            <family val="2"/>
          </rPr>
          <t>wb233123:</t>
        </r>
        <r>
          <rPr>
            <sz val="8"/>
            <rFont val="Tahoma"/>
            <family val="2"/>
          </rPr>
          <t xml:space="preserve">
2003</t>
        </r>
      </text>
    </comment>
    <comment ref="M50" authorId="0">
      <text>
        <r>
          <rPr>
            <b/>
            <sz val="8"/>
            <rFont val="Tahoma"/>
            <family val="2"/>
          </rPr>
          <t>wb233123:</t>
        </r>
        <r>
          <rPr>
            <sz val="8"/>
            <rFont val="Tahoma"/>
            <family val="2"/>
          </rPr>
          <t xml:space="preserve">
2003</t>
        </r>
      </text>
    </comment>
    <comment ref="M53" authorId="0">
      <text>
        <r>
          <rPr>
            <b/>
            <sz val="8"/>
            <rFont val="Tahoma"/>
            <family val="2"/>
          </rPr>
          <t>wb233123:</t>
        </r>
        <r>
          <rPr>
            <sz val="8"/>
            <rFont val="Tahoma"/>
            <family val="2"/>
          </rPr>
          <t xml:space="preserve">
1998 only available</t>
        </r>
      </text>
    </comment>
    <comment ref="M57" authorId="0">
      <text>
        <r>
          <rPr>
            <b/>
            <sz val="8"/>
            <rFont val="Tahoma"/>
            <family val="2"/>
          </rPr>
          <t>wb233123:</t>
        </r>
        <r>
          <rPr>
            <sz val="8"/>
            <rFont val="Tahoma"/>
            <family val="2"/>
          </rPr>
          <t xml:space="preserve">
1999</t>
        </r>
      </text>
    </comment>
    <comment ref="M59" authorId="0">
      <text>
        <r>
          <rPr>
            <b/>
            <sz val="8"/>
            <rFont val="Tahoma"/>
            <family val="2"/>
          </rPr>
          <t>wb233123:</t>
        </r>
        <r>
          <rPr>
            <sz val="8"/>
            <rFont val="Tahoma"/>
            <family val="2"/>
          </rPr>
          <t xml:space="preserve">
2004</t>
        </r>
      </text>
    </comment>
    <comment ref="M61" authorId="0">
      <text>
        <r>
          <rPr>
            <b/>
            <sz val="8"/>
            <rFont val="Tahoma"/>
            <family val="2"/>
          </rPr>
          <t>wb233123:</t>
        </r>
        <r>
          <rPr>
            <sz val="8"/>
            <rFont val="Tahoma"/>
            <family val="2"/>
          </rPr>
          <t xml:space="preserve">
2001</t>
        </r>
      </text>
    </comment>
    <comment ref="M62" authorId="0">
      <text>
        <r>
          <rPr>
            <b/>
            <sz val="8"/>
            <rFont val="Tahoma"/>
            <family val="2"/>
          </rPr>
          <t>wb233123:</t>
        </r>
        <r>
          <rPr>
            <sz val="8"/>
            <rFont val="Tahoma"/>
            <family val="2"/>
          </rPr>
          <t xml:space="preserve">
2003</t>
        </r>
      </text>
    </comment>
    <comment ref="M63" authorId="0">
      <text>
        <r>
          <rPr>
            <b/>
            <sz val="8"/>
            <rFont val="Tahoma"/>
            <family val="2"/>
          </rPr>
          <t>wb233123:</t>
        </r>
        <r>
          <rPr>
            <sz val="8"/>
            <rFont val="Tahoma"/>
            <family val="2"/>
          </rPr>
          <t xml:space="preserve">
1999</t>
        </r>
      </text>
    </comment>
    <comment ref="M64" authorId="0">
      <text>
        <r>
          <rPr>
            <b/>
            <sz val="8"/>
            <rFont val="Tahoma"/>
            <family val="2"/>
          </rPr>
          <t>wb233123:</t>
        </r>
        <r>
          <rPr>
            <sz val="8"/>
            <rFont val="Tahoma"/>
            <family val="2"/>
          </rPr>
          <t xml:space="preserve">
2003</t>
        </r>
      </text>
    </comment>
    <comment ref="M68" authorId="0">
      <text>
        <r>
          <rPr>
            <b/>
            <sz val="8"/>
            <rFont val="Tahoma"/>
            <family val="2"/>
          </rPr>
          <t>wb233123:</t>
        </r>
        <r>
          <rPr>
            <sz val="8"/>
            <rFont val="Tahoma"/>
            <family val="2"/>
          </rPr>
          <t xml:space="preserve">
2003</t>
        </r>
      </text>
    </comment>
    <comment ref="M74" authorId="0">
      <text>
        <r>
          <rPr>
            <b/>
            <sz val="8"/>
            <rFont val="Tahoma"/>
            <family val="2"/>
          </rPr>
          <t>wb233123:</t>
        </r>
        <r>
          <rPr>
            <sz val="8"/>
            <rFont val="Tahoma"/>
            <family val="2"/>
          </rPr>
          <t xml:space="preserve">
1998</t>
        </r>
      </text>
    </comment>
    <comment ref="M76" authorId="0">
      <text>
        <r>
          <rPr>
            <b/>
            <sz val="8"/>
            <rFont val="Tahoma"/>
            <family val="2"/>
          </rPr>
          <t>wb233123:</t>
        </r>
        <r>
          <rPr>
            <sz val="8"/>
            <rFont val="Tahoma"/>
            <family val="2"/>
          </rPr>
          <t xml:space="preserve">
2003</t>
        </r>
      </text>
    </comment>
    <comment ref="M79" authorId="0">
      <text>
        <r>
          <rPr>
            <b/>
            <sz val="8"/>
            <rFont val="Tahoma"/>
            <family val="2"/>
          </rPr>
          <t>wb233123:</t>
        </r>
        <r>
          <rPr>
            <sz val="8"/>
            <rFont val="Tahoma"/>
            <family val="2"/>
          </rPr>
          <t xml:space="preserve">
1999</t>
        </r>
      </text>
    </comment>
    <comment ref="M83" authorId="0">
      <text>
        <r>
          <rPr>
            <b/>
            <sz val="8"/>
            <rFont val="Tahoma"/>
            <family val="2"/>
          </rPr>
          <t>wb233123:</t>
        </r>
        <r>
          <rPr>
            <sz val="8"/>
            <rFont val="Tahoma"/>
            <family val="2"/>
          </rPr>
          <t xml:space="preserve">
1998</t>
        </r>
      </text>
    </comment>
    <comment ref="M84" authorId="0">
      <text>
        <r>
          <rPr>
            <b/>
            <sz val="8"/>
            <rFont val="Tahoma"/>
            <family val="2"/>
          </rPr>
          <t>wb233123:</t>
        </r>
        <r>
          <rPr>
            <sz val="8"/>
            <rFont val="Tahoma"/>
            <family val="2"/>
          </rPr>
          <t xml:space="preserve">
2000</t>
        </r>
      </text>
    </comment>
    <comment ref="M87" authorId="0">
      <text>
        <r>
          <rPr>
            <b/>
            <sz val="8"/>
            <rFont val="Tahoma"/>
            <family val="2"/>
          </rPr>
          <t>wb233123:</t>
        </r>
        <r>
          <rPr>
            <sz val="8"/>
            <rFont val="Tahoma"/>
            <family val="2"/>
          </rPr>
          <t xml:space="preserve">
2002</t>
        </r>
      </text>
    </comment>
    <comment ref="M88" authorId="0">
      <text>
        <r>
          <rPr>
            <b/>
            <sz val="8"/>
            <rFont val="Tahoma"/>
            <family val="2"/>
          </rPr>
          <t>wb233123:</t>
        </r>
        <r>
          <rPr>
            <sz val="8"/>
            <rFont val="Tahoma"/>
            <family val="2"/>
          </rPr>
          <t xml:space="preserve">
2002</t>
        </r>
      </text>
    </comment>
    <comment ref="M43" authorId="0">
      <text>
        <r>
          <rPr>
            <b/>
            <sz val="8"/>
            <rFont val="Tahoma"/>
            <family val="2"/>
          </rPr>
          <t>wb233123:</t>
        </r>
        <r>
          <rPr>
            <sz val="8"/>
            <rFont val="Tahoma"/>
            <family val="2"/>
          </rPr>
          <t xml:space="preserve">
1999</t>
        </r>
      </text>
    </comment>
    <comment ref="H12" authorId="1">
      <text>
        <r>
          <rPr>
            <b/>
            <sz val="8"/>
            <rFont val="Tahoma"/>
            <family val="2"/>
          </rPr>
          <t>Christine Weigand:</t>
        </r>
        <r>
          <rPr>
            <sz val="8"/>
            <rFont val="Tahoma"/>
            <family val="2"/>
          </rPr>
          <t xml:space="preserve">
only 1999 available but did not use since very outdated compared to rest of data</t>
        </r>
      </text>
    </comment>
    <comment ref="I12" authorId="1">
      <text>
        <r>
          <rPr>
            <b/>
            <sz val="8"/>
            <rFont val="Tahoma"/>
            <family val="2"/>
          </rPr>
          <t>Christine Weigand:</t>
        </r>
        <r>
          <rPr>
            <sz val="8"/>
            <rFont val="Tahoma"/>
            <family val="2"/>
          </rPr>
          <t xml:space="preserve">
2004</t>
        </r>
      </text>
    </comment>
    <comment ref="M12" authorId="1">
      <text>
        <r>
          <rPr>
            <b/>
            <sz val="8"/>
            <rFont val="Tahoma"/>
            <family val="2"/>
          </rPr>
          <t>Christine Weigand:</t>
        </r>
        <r>
          <rPr>
            <sz val="8"/>
            <rFont val="Tahoma"/>
            <family val="2"/>
          </rPr>
          <t xml:space="preserve">
2004</t>
        </r>
      </text>
    </comment>
  </commentList>
</comments>
</file>

<file path=xl/sharedStrings.xml><?xml version="1.0" encoding="utf-8"?>
<sst xmlns="http://schemas.openxmlformats.org/spreadsheetml/2006/main" count="17511" uniqueCount="593">
  <si>
    <t>Ukraine: SOCIAL SAFETY NETS AND POVERTY, VOLUME 1, June 15, 2001, Report No. 22677 UA</t>
  </si>
  <si>
    <t>Child allowances, poverty benefits, subsidized credit, housing privileges</t>
  </si>
  <si>
    <t>Uzbekistan Living Standards Assessment, Policies To Improve Living Standards, (In Two Volumes) Volume II: Full Report, May 2003, Report No. 25923-UZ</t>
  </si>
  <si>
    <t>Cash transfers to poor families, numerous subsidies (food, medicine, transport), school feeding programs, school uniform programs, health-based programs, child care programs, employment and training programs</t>
  </si>
  <si>
    <t>Eastern Europe and Central Asia</t>
  </si>
  <si>
    <t>Social and Health Insurance</t>
  </si>
  <si>
    <t>Social Guarantee and Protection Centers and Direct Transfers</t>
  </si>
  <si>
    <t>Social security, government employee pension schemes, unemployment compensation benefits</t>
  </si>
  <si>
    <t>Income transfers,cash assistance, food aid, public works, subsidized health insurance to families of prisoners</t>
  </si>
  <si>
    <t>Poverty in the West Bank and Gaza, June 18, 2001, Report No. 22312-GZ</t>
  </si>
  <si>
    <t>Social Welfare Fund (100%)</t>
  </si>
  <si>
    <t>Income-tested child allowances and social supplements; and non-income tested parental benefits, childbirth grants, and foster care benefits, school transportation allowances, housing benefits, death grants, and support to families of those in compulsory military services</t>
  </si>
  <si>
    <t>http://www.iadb.org/sds/doc/APECreport.pdf</t>
  </si>
  <si>
    <t>Social Safety Nets in Response to Crisis:  Lessons and Guidelines from Asia and Latin America, 2001 (Submitted to the APEC Finance Ministers, February 2001)</t>
  </si>
  <si>
    <t>1997/98</t>
  </si>
  <si>
    <t>direct transfer schemes to households, system of housing subsidies</t>
  </si>
  <si>
    <t>Basic Retirement Pension (non-contributory), civil servants scheme</t>
  </si>
  <si>
    <t>pension system</t>
  </si>
  <si>
    <t>52 different programs, including social fund</t>
  </si>
  <si>
    <t>not available</t>
  </si>
  <si>
    <t>Statistical yearbooks (from Xiaoqing)</t>
  </si>
  <si>
    <t>food-for-work program, free provision of food provided as relief aid, food aid distributed under the Employment Generation Scheme (all off-budget)</t>
  </si>
  <si>
    <t>social protection (covers a broad range of areas, including unemployment, social exclusion, and disaster relief)</t>
  </si>
  <si>
    <t>social grants, including a child support grant (CSG), a foster care grant (FCG), two disability grants (one for the disabled person, the disability grant (DG) and one for caretakers, the care dependency grant (CDG)), a state old-age pension (SOAP), and grants-in-aid (GIA), a form of local social assistance</t>
  </si>
  <si>
    <t>Social Protection in South Africa: The Social Grants System. A note prepared for the Country Partnership Strategy. 2006</t>
  </si>
  <si>
    <t>social assistance</t>
  </si>
  <si>
    <t>http://www-wds.worldbank.org/external/default/WDSContentServer/WDSP/IB/2006/12/27/000310607_20061227120919/Rendered/PDF/382900BD0Socia10also03341101PUBLIC1.pdf</t>
  </si>
  <si>
    <t>Social Safety Nets in Bangladesh: An Assessment. 2006</t>
  </si>
  <si>
    <t>Redistributing Income to the Poor and the Rich: Public Transfers in Latin America and the Caribbean. Kathy Lindert, Emmanuel Skoufias, Joseph Shapiro. August 2006</t>
  </si>
  <si>
    <t>http://www-wds.worldbank.org/external/default/main?pagePK=64193027&amp;piPK=64187937&amp;theSitePK=523679&amp;menuPK=64187510&amp;searchMenuPK=64187283&amp;theSitePK=523679&amp;entityID=000090341_20060823110842&amp;searchMenuPK=64187283&amp;theSitePK=523679</t>
  </si>
  <si>
    <t>http://www-wds.worldbank.org/external/default/main?pagePK=64193027&amp;piPK=64187937&amp;theSitePK=523679&amp;menuPK=64187510&amp;searchMenuPK=64187283&amp;theSitePK=523679&amp;entityID=000160016_20050729153758&amp;searchMenuPK=64187283&amp;theSitePK=523680</t>
  </si>
  <si>
    <t>Dominica - OECS fiscal issues : policies to achieve fiscal sustainability and improve efficiency and equity of public expenditures</t>
  </si>
  <si>
    <t>http://www-wds.worldbank.org/external/default/main?pagePK=64193027&amp;piPK=64187937&amp;theSitePK=523679&amp;menuPK=64187510&amp;searchMenuPK=64187283&amp;theSitePK=523679&amp;entityID=000160016_20060616104140&amp;searchMenuPK=64187283&amp;theSitePK=523679</t>
  </si>
  <si>
    <t>Saint Kitts and Nevis - OECS fiscal issues : policies to achieve fiscal sustainability and improve efficiency and equity of public expenditures (2003)</t>
  </si>
  <si>
    <t>not available?</t>
  </si>
  <si>
    <t>Pensions, unemployment, disability, sickness and other benefits</t>
  </si>
  <si>
    <t>Cash transfers, school feeding, needy students program for uniforms and school supplies, grants for needy students, day care cnters, fee waivers for health care, off-island medical care, subsidized dental, optical cae and pharmaceuticals, skills training, microenterprise development, public works, housing repairs  assistance, assistance with water, homes for elderly and infirm and other program.</t>
  </si>
  <si>
    <t>cash benefits to families with children, students, the disabled</t>
  </si>
  <si>
    <t>http://www-wds.worldbank.org/external/default/main?menuPK=64187510&amp;pagePK=64193027&amp;piPK=64187937&amp;theSitePK=523679&amp;menuPK=64154159&amp;searchMenuPK=64258544&amp;theSitePK=523679&amp;entityID=000090341_20040722093405&amp;searchMenuPK=64258544&amp;theSitePK=523679</t>
  </si>
  <si>
    <t>Mauritius - The New Economic Agenda and Fiscal Sustainability</t>
  </si>
  <si>
    <t>2001/02</t>
  </si>
  <si>
    <t>Ethiopia Public Expenditure Review - The Emerging Challenge, Vol. 1, Public Spending in the Social Sectors 2000-2020, 2004.</t>
  </si>
  <si>
    <t>Monthly benefits and allowance</t>
  </si>
  <si>
    <t>Ecuador - Creating fiscal space for poverty reduction - A fiscal management and public expenditure review (Vol. 1 of 2) : Main report (English)</t>
  </si>
  <si>
    <t>http://www-wds.worldbank.org/external/default/main?pagePK=64193027&amp;piPK=64187937&amp;theSitePK=523679&amp;menuPK=64187510&amp;searchMenuPK=64187283&amp;theSitePK=523679&amp;entityID=000012009_20041230100614&amp;searchMenuPK=64187283&amp;theSitePK=523679</t>
  </si>
  <si>
    <t>Social welfare (cash transfers, other)</t>
  </si>
  <si>
    <t>Grenada - OECS fiscal issues : policies to achieve fiscal sustainability and improve efficiency and equity of public expenditure</t>
  </si>
  <si>
    <t>http://www-wds.worldbank.org/external/default/main?pagePK=64193027&amp;piPK=64187937&amp;theSitePK=523679&amp;menuPK=64187510&amp;searchMenuPK=64187283&amp;theSitePK=523679&amp;entityID=000160016_20060616102435&amp;searchMenuPK=64187283&amp;theSitePK=523679</t>
  </si>
  <si>
    <t>http://www-wds.worldbank.org/external/default/main?pagePK=64193027&amp;piPK=64187937&amp;theSitePK=523679&amp;menuPK=64187510&amp;searchMenuPK=64187283&amp;theSitePK=523679&amp;entityID=000012009_20060428084124&amp;searchMenuPK=64187283&amp;theSitePK=523679</t>
  </si>
  <si>
    <t>Djibouti - Public Expenditure Review (PER) - making public finances work for growth and poverty reduction</t>
  </si>
  <si>
    <t>pensions and health insurance</t>
  </si>
  <si>
    <t>transfers to households and institutions</t>
  </si>
  <si>
    <t>administration of the NIS (National Insurance) and contributory benefits</t>
  </si>
  <si>
    <t>Public Assistance (including monthly cash benefits and short-term immediate assistance in cash and in-kind) to poor female-headed households with children, the elderly poor, and the disabled (irrespective of income), and a variety of other means tested welfare programs, including education assistance for uniforms, fees and other related expenses, hot meals for indigents, transportation subsidies, elder care, and other programs</t>
  </si>
  <si>
    <t>Saint Vincent and the Grenadines - OECS fiscal issues : Policies to achieve fiscal sustainability and improve efficiency and equity of public expenditures</t>
  </si>
  <si>
    <t>http://www-wds.worldbank.org/external/default/main?pagePK=64193027&amp;piPK=64187937&amp;theSitePK=523679&amp;menuPK=64187510&amp;searchMenuPK=64187283&amp;theSitePK=523679&amp;entityID=000160016_20050628115416&amp;searchMenuPK=64187283&amp;theSitePK=523679</t>
  </si>
  <si>
    <t>http://www-wds.worldbank.org/external/default/main?pagePK=64193027&amp;piPK=64187937&amp;theSitePK=523679&amp;menuPK=64187510&amp;searchMenuPK=64187283&amp;theSitePK=523679&amp;entityID=000090341_20070315104526&amp;searchMenuPK=64187283&amp;theSitePK=523679</t>
  </si>
  <si>
    <t>Moldova - Improving public expenditure efficiency for growth and poverty reduction</t>
  </si>
  <si>
    <t>compensations for utilities payments, child benefits, war veterans allowances, social allowances, material assistance, transport compensations for disabled, Chemobyl compensations, death grants and care-takers allowances for disabled</t>
  </si>
  <si>
    <t xml:space="preserve">old-age retiree pensions (different for agricultural and non-agricultural sector), disability pensions, survivor pensions (contributory)                                                             </t>
  </si>
  <si>
    <t>http://imagebank.worldbank.org/servlet/WDS_IBank_Servlet?pcont=details&amp;menuPK=64154159&amp;searchMenuPK=64154240&amp;theSitePK=501889&amp;eid=000094946_02030804020320&amp;siteName=IMAGEBANK</t>
  </si>
  <si>
    <t>Algeria - Public expenditure review of the social sector, Volume 1</t>
  </si>
  <si>
    <t>retirement, disability and survivors' pensions, unemployment and health care insurance</t>
  </si>
  <si>
    <t>family allowance, pensions for war veterans, cash and in-kind transfers for children, disabled, victims of terrorism</t>
  </si>
  <si>
    <t>Serbia Social Assistance and Child Protection Note</t>
  </si>
  <si>
    <t>Wage compensation during maternity, child allowance, birth grant (parental allowance), educational program before first grade, social assistance to poor households (MOP), caregiver's allowance, social institutions</t>
  </si>
  <si>
    <t>Pensions, veterans, unemployed</t>
  </si>
  <si>
    <t>http://www-wds.worldbank.org/external/default/main?pagePK=64193027&amp;piPK=64187937&amp;theSitePK=523679&amp;menuPK=64187510&amp;searchMenuPK=64187283&amp;theSitePK=523679&amp;entityID=000012009_20060711130435&amp;searchMenuPK=64187283&amp;theSitePK=523679</t>
  </si>
  <si>
    <t>not accessible externally  - clearance?</t>
  </si>
  <si>
    <t>Democracy</t>
  </si>
  <si>
    <t>Governance (Voice and Accountability)</t>
  </si>
  <si>
    <t>pensions, allowances for veterans, maternity, labor market programs</t>
  </si>
  <si>
    <t>income assistance, disability benefits, social institutions, others</t>
  </si>
  <si>
    <t>http://www-wds.worldbank.org/external/default/WDSContentServer/WDSP/IB/2007/03/20/000020953_20070320142753/Rendered/PDF/364530v2.pdf</t>
  </si>
  <si>
    <t>Albania
Restructuring Public Expenditure to Sustain Growth A Public Expenditure and Institutional Review</t>
  </si>
  <si>
    <t>http://www-wds.worldbank.org/external/default/main?pagePK=64193027&amp;piPK=64187937&amp;theSitePK=523679&amp;menuPK=64187510&amp;searchMenuPK=64187283&amp;theSitePK=523679&amp;entityID=000094946_03040204013929&amp;searchMenuPK=64187283&amp;theSitePK=523679</t>
  </si>
  <si>
    <t>Poland - Toward a fiscal framework for growth - a public expenditure and institutional review</t>
  </si>
  <si>
    <t>http://www-wds.worldbank.org/external/default/main?pagePK=64193027&amp;piPK=64187937&amp;theSitePK=523679&amp;menuPK=64187510&amp;searchMenuPK=64187283&amp;theSitePK=523679&amp;entityID=000094946_00080105305244&amp;searchMenuPK=64187283&amp;theSitePK=523679</t>
  </si>
  <si>
    <t>Tajikistan Poverty Assessment</t>
  </si>
  <si>
    <t>social security, pensions</t>
  </si>
  <si>
    <t>BONOSOL, other social assistance</t>
  </si>
  <si>
    <t>2004/05</t>
  </si>
  <si>
    <t>http://www-wds.worldbank.org/external/default/main?pagePK=64193027&amp;piPK=64187937&amp;theSitePK=523679&amp;menuPK=64187510&amp;searchMenuPK=64187283&amp;theSitePK=523679&amp;entityID=000310607_20070315132957&amp;searchMenuPK=64187283&amp;theSitePK=523679</t>
  </si>
  <si>
    <t>http://www-wds.worldbank.org/external/default/main?pagePK=64193027&amp;piPK=64187937&amp;theSitePK=523679&amp;menuPK=64187510&amp;searchMenuPK=64187283&amp;theSitePK=523679&amp;entityID=000094946_02073004020126&amp;searchMenuPK=64187283&amp;theSitePK=523679</t>
  </si>
  <si>
    <t>ALL</t>
  </si>
  <si>
    <t>ALL regions average</t>
  </si>
  <si>
    <t>ALL regions median</t>
  </si>
  <si>
    <t>Maldives</t>
  </si>
  <si>
    <t>pensions</t>
  </si>
  <si>
    <t>http://www-wds.worldbank.org/external/default/WDSContentServer/IW3P/IB/2006/05/01/000160016_20060501163658/Rendered/PDF/348180MV0Socia1white0cover01PUBLIC1.pdf</t>
  </si>
  <si>
    <t>Maldives - Social protection in the Maldives: Options for reforming pensions and safety nets</t>
  </si>
  <si>
    <t>http://www-wds.worldbank.org/external/default/WDSContentServer/WDSP/IB/2007/04/13/000020953_20070413085024/Rendered/PDF/393030PK.pdf</t>
  </si>
  <si>
    <t>cash transfer programs (Zakat, Bait-u-Mal), social welfare services, microfinance, workfare, school feeding, wheat subsidy</t>
  </si>
  <si>
    <t>Social Protection in Pakistan: Managing Household Risks and Vulnerability</t>
  </si>
  <si>
    <t>Samurdhi income transfer to the poor, income support for disabled soldiers and families of service personnel who died in the conflict, assistance for persons displaced by the conflict, emergency assistance to people affected by natural disasters such as drought and floods, provision of free textbooks and school uniforms to children, and assistance for indigent elders and families with disabled persons and people with incapacitating
illness who are unable to work</t>
  </si>
  <si>
    <t>Sri Lanka
Strengthening Social Protection</t>
  </si>
  <si>
    <t>http://www-wds.worldbank.org/external/default/WDSContentServer/WDSP/IB/2007/03/30/000020439_20070330092202/Rendered/PDF/381070LK.pdf</t>
  </si>
  <si>
    <t>civil service pensions</t>
  </si>
  <si>
    <t>Iraq</t>
  </si>
  <si>
    <t>family care allowance, demobilization allowance, public workfare, PDS food ration</t>
  </si>
  <si>
    <t>pensions, employment and training</t>
  </si>
  <si>
    <t>IRAQ. Social Protection in Transition: Labor Policy, Safety Nets and Pensions. A Policy Note</t>
  </si>
  <si>
    <t>public pensions</t>
  </si>
  <si>
    <t>Jordan , Poverty Assessment, Main Report, Volume 2</t>
  </si>
  <si>
    <t>http://www-wds.worldbank.org/external/default/WDSContentServer/WDSP/IB/2005/10/12/000160016_20051012165106/Rendered/PDF/338020VOL.02.pdf</t>
  </si>
  <si>
    <t>Lebanon</t>
  </si>
  <si>
    <t>Pensions and end-of indemnity services for civil servants, military and Government’s contractual workers</t>
  </si>
  <si>
    <t>http://imagebank.worldbank.org/servlet/WDSContentServer/IW3P/IB/2006/04/13/000160016_20060413084607/Rendered/PDF/32857.pdf</t>
  </si>
  <si>
    <t>Lebanon - Public expenditure review : reform priorities for fiscal adjustment, growth and poverty alleviation</t>
  </si>
  <si>
    <t>India</t>
  </si>
  <si>
    <t>Social Protection for a Changing India</t>
  </si>
  <si>
    <t>not citable?</t>
  </si>
  <si>
    <t>Pension, unemployment insurance</t>
  </si>
  <si>
    <t>family allowance, citizen income</t>
  </si>
  <si>
    <t>Income Transfer Policies in Uruguay: Closing the Gaps</t>
  </si>
  <si>
    <t>cash transfers, school feeding, subsidies</t>
  </si>
  <si>
    <t>Social Protection in Panama</t>
  </si>
  <si>
    <t>pensions, unemployment and health (?) insurance</t>
  </si>
  <si>
    <t>contributory pensions</t>
  </si>
  <si>
    <t>Costa Rica Poverty Assessment: Recapturing Momentum for Poverty Reduction</t>
  </si>
  <si>
    <t>non-contributory pensions, cash and in-kind transfers, care services</t>
  </si>
  <si>
    <t>Food-based programs (glass of Milk (Vaso de Leche)), School Breakfast (Desayunos Escolares), Community Kitchen (Comedores Populares), PACFO (food supplement for at-risk children), Wawa Wasi (daycare), School lunch (Almuerzon escolares)), Workfare (A Trabajar Urbano, A Trabajar Rural), Social Fund/Community-Driven Development (FONCODES, PRONAMCHCS)</t>
  </si>
  <si>
    <t>pensions, public subsidy</t>
  </si>
  <si>
    <t>all spending for old age, disability and health insurance</t>
  </si>
  <si>
    <t>Social Investment Fund (FHIS), the Family Assistance Program and other public and non-public programs</t>
  </si>
  <si>
    <t>Social safety net assessments from Central America : cross-country review of principal findings</t>
  </si>
  <si>
    <t>http://www-wds.worldbank.org/external/default/main?pagePK=64193027&amp;piPK=64187937&amp;theSitePK=523679&amp;menuPK=64187510&amp;searchMenuPK=64187283&amp;theSitePK=523679&amp;entityID=000090341_20040218153551&amp;searchMenuPK=64187283&amp;theSitePK=523679</t>
  </si>
  <si>
    <t>El Salvador</t>
  </si>
  <si>
    <t>Paraguay</t>
  </si>
  <si>
    <t>pension, health and maternity fund and administration</t>
  </si>
  <si>
    <t>various programs for  the poor, women, disabled, indigenous</t>
  </si>
  <si>
    <t>http://www-wds.worldbank.org/external/default/WDSContentServer/IW3P/IB/2004/10/20/000012009_20041020134302/Rendered/PDF/273520PA.pdf</t>
  </si>
  <si>
    <t>Paraguay - Defining a strategy for social protection policy</t>
  </si>
  <si>
    <t>Benin</t>
  </si>
  <si>
    <t>Benin - Enhancing the effectiveness of public spending - a review of three sectors</t>
  </si>
  <si>
    <t>http://www-wds.worldbank.org/external/default/main?pagePK=64193027&amp;piPK=64187937&amp;theSitePK=523679&amp;menuPK=64187510&amp;searchMenuPK=64187283&amp;theSitePK=523679&amp;entityID=000012009_20050111085004&amp;searchMenuPK=64187283&amp;theSitePK=523679</t>
  </si>
  <si>
    <t>Burkina Faso</t>
  </si>
  <si>
    <t>social security</t>
  </si>
  <si>
    <t>Senegal</t>
  </si>
  <si>
    <t>social security for formal sector workers</t>
  </si>
  <si>
    <t>http://www-wds.worldbank.org/external/default/main?pagePK=64193027&amp;piPK=64187937&amp;theSitePK=523679&amp;menuPK=64187510&amp;searchMenuPK=64187283&amp;theSitePK=523679&amp;entityID=000090341_20060428082015&amp;searchMenuPK=64187283&amp;theSitePK=523679</t>
  </si>
  <si>
    <t>Senegal - Managing Risks in Rural Senegal: a multi-sectoral review of efforts to reduce vulnerability</t>
  </si>
  <si>
    <t>national solidarity fund, support to women, support to disadvantaged groups</t>
  </si>
  <si>
    <t>http://www-wds.worldbank.org/external/default/main?pagePK=64193027&amp;piPK=64187937&amp;theSitePK=523679&amp;menuPK=64187510&amp;searchMenuPK=64187283&amp;theSitePK=523679&amp;entityID=000020953_20070827113556&amp;searchMenuPK=64187283&amp;theSitePK=523679</t>
  </si>
  <si>
    <t>Indonesia public expenditure review 2007 - Spending for development : making the most of Indonesia's new opportunities</t>
  </si>
  <si>
    <t>Income Supplement Program, Cash Assistance for Handicapped Care Program, Emergency and Exceptional Aid Program, Vocational Rehabilitation Program, Physical Rehabilitation Program, Development of the Educational Loan Program, Vocational Training Program and housing subsidy program (0.7%)</t>
  </si>
  <si>
    <t>amount attributed to 'social affairs' (includes 0.1% of admin expenditures attributed to social affairs)</t>
  </si>
  <si>
    <t>public works, food subsidy, various welfare schemes, midday meals</t>
  </si>
  <si>
    <t>absolute poverty scheme, assistance for school materials for poor families, assistance for health-related needs (pre-tsunami, post-tsunami=0.7)</t>
  </si>
  <si>
    <t>Russia Poverty Assessment</t>
  </si>
  <si>
    <t>Privileges for housing and communal services, victims of radiation, and rehabilitated persons, income-tested social assistance programs including child allowances, housing and utility allowances and regional programs for poor/vulnerable</t>
  </si>
  <si>
    <t>Pensions and other social insurance, unemployment insurance and ALMPs</t>
  </si>
  <si>
    <t>ECA targeting study</t>
  </si>
  <si>
    <t>guaranteed minimum income, other benefits for specific groups such as children and the disabled</t>
  </si>
  <si>
    <t>pensions, unemployment benefits</t>
  </si>
  <si>
    <t>special state allowances, social assistance</t>
  </si>
  <si>
    <t>pensions and unemployment benefits</t>
  </si>
  <si>
    <t>http://www-wds.worldbank.org/external/default/main?menuPK=64187510&amp;pagePK=64193027&amp;piPK=64187937&amp;theSitePK=523679&amp;menuPK=64154159&amp;searchMenuPK=64258544&amp;theSitePK=523679&amp;entityID=000012009_20041124092314&amp;searchMenuPK=64258544&amp;theSitePK=523679</t>
  </si>
  <si>
    <t>Kazakhstan Dimensions of Poverty in Kazakhstan (Vol I)</t>
  </si>
  <si>
    <t>Social assistance</t>
  </si>
  <si>
    <t>http://www-wds.worldbank.org/external/default/main?pagePK=64193027&amp;piPK=64187937&amp;theSitePK=523679&amp;menuPK=64187510&amp;searchMenuPK=64187283&amp;theSitePK=523679&amp;entityID=000012009_20050713091826&amp;searchMenuPK=64187283&amp;theSitePK=523679</t>
  </si>
  <si>
    <t>Kosovo - Poverty assessment - promoting opportunity, security, and participation for all</t>
  </si>
  <si>
    <t>http://www-wds.worldbank.org/external/default/main?pagePK=64193027&amp;piPK=64187937&amp;theSitePK=523679&amp;menuPK=64187510&amp;searchMenuPK=64187283&amp;theSitePK=523679&amp;entityID=000020953_20070119103203&amp;searchMenuPK=64187283&amp;theSitePK=523679</t>
  </si>
  <si>
    <t>Turkey - Public expenditure review</t>
  </si>
  <si>
    <t>not specified [calculated spending as difference between SP and SS]</t>
  </si>
  <si>
    <t>http://www-wds.worldbank.org/external/default/main?pagePK=64193027&amp;piPK=64187937&amp;theSitePK=523679&amp;menuPK=64187510&amp;searchMenuPK=64187283&amp;theSitePK=523679&amp;entityID=000094946_02100204010860&amp;searchMenuPK=64187283&amp;theSitePK=523679</t>
  </si>
  <si>
    <t>Guyana - Public expenditure review</t>
  </si>
  <si>
    <t>Burkina Faso - Reducing poverty through sustained equitable growth - poverty assessment</t>
  </si>
  <si>
    <t>http://www-wds.worldbank.org/external/default/main?pagePK=64193027&amp;piPK=64187937&amp;theSitePK=523679&amp;menuPK=64187510&amp;searchMenuPK=64187283&amp;theSitePK=523679&amp;entityID=000012009_20050629092219&amp;searchMenuPK=64187283&amp;theSitePK=523679</t>
  </si>
  <si>
    <t>http://www-wds.worldbank.org/external/default/main?pagePK=64193027&amp;piPK=64187937&amp;theSitePK=523679&amp;menuPK=64187510&amp;searchMenuPK=64187283&amp;theSitePK=523679&amp;entityID=000012009_20040203102947&amp;searchMenuPK=64187283&amp;theSitePK=523679</t>
  </si>
  <si>
    <t>..</t>
  </si>
  <si>
    <t>Ethnicity</t>
  </si>
  <si>
    <t>Language</t>
  </si>
  <si>
    <t>Religion</t>
  </si>
  <si>
    <t>SS total</t>
  </si>
  <si>
    <t>.</t>
  </si>
  <si>
    <t>Latvia - The quest for jobs and growth - A World Bank Country Economic Memorandum</t>
  </si>
  <si>
    <t>South Africa</t>
  </si>
  <si>
    <t>2002/03</t>
  </si>
  <si>
    <t>Mauritius</t>
  </si>
  <si>
    <t>Cash transfers, food vouchers, community assistance for elderly, school uniforms, school feeding, educaton grants, categorical and means tested fee waivers for health care, off-isalnd medical care, burial assistance, skills training, adult education, microenterprise development, severance scheme, feedling program, homes for the elderly and other programs</t>
  </si>
  <si>
    <t xml:space="preserve">Cash transfers, school feeding, student welfare, day care, subsidized medical care and pharmaceutical, off-iland medical care, skills training, microenterprise developmet, adult education and literacy training, skills training, short-term employment, social investment fund and other community based programs, homes for the elderly, low-income rental units, hosuing repairs programs, </t>
  </si>
  <si>
    <t>Social privileges (housing, housing maintenance, public transportation, renovation of residences, acquisition of housing below market cost,  subsidized credit, phone service, drugs and medical services, free or subsidized automobiles, tax exemptions, legal services); Chernobyl benefits; housing and utilities allowance; 11 different categorical and means tested family benefits; and other programs.</t>
  </si>
  <si>
    <t>Social Insurance Expenditures as a % of GDP</t>
  </si>
  <si>
    <t>Social Assistance Expenditures as a % of GDP</t>
  </si>
  <si>
    <t>Total Social Protection Expenditures as a % of GDP</t>
  </si>
  <si>
    <t>Year</t>
  </si>
  <si>
    <t>Education</t>
  </si>
  <si>
    <t>Health</t>
  </si>
  <si>
    <t>Total Govt</t>
  </si>
  <si>
    <t>GDP/capita PPP</t>
  </si>
  <si>
    <t>Gini coefficient</t>
  </si>
  <si>
    <t>Malawi</t>
  </si>
  <si>
    <t>NA</t>
  </si>
  <si>
    <t>Madagascar</t>
  </si>
  <si>
    <t>West Bank and Gaza</t>
  </si>
  <si>
    <t>Algeria</t>
  </si>
  <si>
    <t>Bahrain</t>
  </si>
  <si>
    <t>Djibouti</t>
  </si>
  <si>
    <t>Jordan</t>
  </si>
  <si>
    <t>Kuwait</t>
  </si>
  <si>
    <t>Morocco</t>
  </si>
  <si>
    <t>Tunisia</t>
  </si>
  <si>
    <t>Albania</t>
  </si>
  <si>
    <t>Armenia</t>
  </si>
  <si>
    <t>Azerbaijan</t>
  </si>
  <si>
    <t>Belarus</t>
  </si>
  <si>
    <t>Bosnia and Herzegovina</t>
  </si>
  <si>
    <t>Bulgaria</t>
  </si>
  <si>
    <t>Croatia</t>
  </si>
  <si>
    <t>Czech Republic</t>
  </si>
  <si>
    <t>Georgia</t>
  </si>
  <si>
    <t>Hungary</t>
  </si>
  <si>
    <t>Kazakhstan</t>
  </si>
  <si>
    <t>Kosovo</t>
  </si>
  <si>
    <t>Kyrgyz Republic</t>
  </si>
  <si>
    <t>Latvia</t>
  </si>
  <si>
    <t>Moldova</t>
  </si>
  <si>
    <t>Poland</t>
  </si>
  <si>
    <t>Romania</t>
  </si>
  <si>
    <t>Russian Federation</t>
  </si>
  <si>
    <t>Slovak Republic</t>
  </si>
  <si>
    <t>Tajikistan</t>
  </si>
  <si>
    <t>Turkey</t>
  </si>
  <si>
    <t>Ukraine</t>
  </si>
  <si>
    <t>Uzbekistan</t>
  </si>
  <si>
    <t>Cambodia</t>
  </si>
  <si>
    <t>Indonesia</t>
  </si>
  <si>
    <t>Malaysia</t>
  </si>
  <si>
    <t>Mongolia</t>
  </si>
  <si>
    <t>Philippines</t>
  </si>
  <si>
    <t>Thailand</t>
  </si>
  <si>
    <t>Vietnam</t>
  </si>
  <si>
    <t>Afghanistan</t>
  </si>
  <si>
    <t>Bangladesh</t>
  </si>
  <si>
    <t>Pakistan</t>
  </si>
  <si>
    <t>Sri Lanka</t>
  </si>
  <si>
    <t>Argentina</t>
  </si>
  <si>
    <t>Bolivia</t>
  </si>
  <si>
    <t>Brazil</t>
  </si>
  <si>
    <t>Chile</t>
  </si>
  <si>
    <t>Colombia</t>
  </si>
  <si>
    <t>Costa Rica</t>
  </si>
  <si>
    <t>Dominica</t>
  </si>
  <si>
    <t>Dominican Republic</t>
  </si>
  <si>
    <t>Ecuador</t>
  </si>
  <si>
    <t>Grenada</t>
  </si>
  <si>
    <t>Guatemala</t>
  </si>
  <si>
    <t>Guyana</t>
  </si>
  <si>
    <t>Honduras</t>
  </si>
  <si>
    <t>Jamaica</t>
  </si>
  <si>
    <t>Mexico</t>
  </si>
  <si>
    <t>Nicaragua</t>
  </si>
  <si>
    <t>Panama</t>
  </si>
  <si>
    <t>Peru</t>
  </si>
  <si>
    <t>St. Lucia</t>
  </si>
  <si>
    <t>St. Kitts and Nevis</t>
  </si>
  <si>
    <t>Uruguay</t>
  </si>
  <si>
    <t>Country</t>
  </si>
  <si>
    <t>Source</t>
  </si>
  <si>
    <t>Social Insurance</t>
  </si>
  <si>
    <t>http://www-wds.worldbank.org/servlet/WDSContentServer/WDSP/IB/2002/08/09/000094946_02073004020126/Rendered/PDF/multi0page.pdf</t>
  </si>
  <si>
    <t xml:space="preserve">Old-age, disability, survivors pensions, sickness, maternity and unemployment benefits)  </t>
  </si>
  <si>
    <t xml:space="preserve">Monthly cash family poverty benefits, social pension, newborn payment, child care allowance, public works), medico-social rehabilitation for veterans and the disabled, services at home, institutional care and price discounts. </t>
  </si>
  <si>
    <t>Armenia Public Expenditure Review, April 28, 2003, Report No. 24434-AM</t>
  </si>
  <si>
    <t>Child and family allowances, maternity leave, funeral allowances, sick leave, sanatorium vouchers, monthly allowance to persons disabled during military service, additional monthly allowances to disabled persons, social pensioners and Chenobyl victims</t>
  </si>
  <si>
    <t>Azerbaijan Republic Poverty Assessment, (In Two Volumes) Volume II: The Main Report, June 4, 2003, Report No. 24890-AZ</t>
  </si>
  <si>
    <t>http://imagebank.worldbank.org/servlet/WDSContentServer/IW3P/IB/2003/06/27/000012009_20030627104941/Rendered/PDF/248900V0II.pdf</t>
  </si>
  <si>
    <t>Contributory pensions (100%)</t>
  </si>
  <si>
    <t>Pensions</t>
  </si>
  <si>
    <t>300 benefits, subsidies and privileges.</t>
  </si>
  <si>
    <t>Belarus Strengthening Public Resource Management, June 20, 2003, Report No. 26041-BY</t>
  </si>
  <si>
    <t>Bosnia and Herzegovina, From Aid Dependency to Fiscal Self-Reliance, A Public Expenditure and Institutional Review, October 2002, Report No.24297-BIH</t>
  </si>
  <si>
    <t>Cambodia Enhancing Service Delivery through Improved Resource Allocation and Institutional Reform, Integrated Fiduciary Assessment and Public Expenditure Review, September 8, 2003, Report No. 25611-KH</t>
  </si>
  <si>
    <t>Ethiopia</t>
  </si>
  <si>
    <t>Montenegro</t>
  </si>
  <si>
    <t>Serbia</t>
  </si>
  <si>
    <t>Serbia and Montenegro Poverty Assessment, Volume I and II, November 2003, Report No.26011-YU</t>
  </si>
  <si>
    <t>various social assistance programs, including child allowances</t>
  </si>
  <si>
    <t>social safety net programs such as cash transfers (including education stipend and assistance programs as well as old age allowance a.o.) and food transfers (including food for work programs, and food relief programs)</t>
  </si>
  <si>
    <t>pensions, labor market</t>
  </si>
  <si>
    <t>only federal spending</t>
  </si>
  <si>
    <t>only central government</t>
  </si>
  <si>
    <t>central government only, and excluding social funds</t>
  </si>
  <si>
    <t>federal government only</t>
  </si>
  <si>
    <t>pension (social security) and employment related benefits (child allowance for formal sector workers &amp; unemployment benefits)</t>
  </si>
  <si>
    <t>cash transfers (jefes de hogar &amp; IDH CCT), food-based emergency programs, nonp-contributory pensions, other programs providing assistance linked to health and education and providing for basic needs</t>
  </si>
  <si>
    <t>pension benefits and employment-related benefits</t>
  </si>
  <si>
    <t>conditional cash transfers, targeted cash transfers to the poor disabled and elderly, social assistance for youth and child laborers, school feeding, variety of other social services and programs</t>
  </si>
  <si>
    <t>cash transfer programs, potable water subsidies, non-contributory assistance pensions, in-kind transfers, other programs such as food-based programs, school feeding and scholarships.</t>
  </si>
  <si>
    <t>pay-as-you go pension scheme, special programs such as pension solidarity fund for workers in informal sector, disabled workers, and community mothers, family allowance fund for low-income workers and their families, and universal health insurance program</t>
  </si>
  <si>
    <t>Various cash transfers, veterans benefits, social services and child protection</t>
  </si>
  <si>
    <t>Pensions,  illness, disability and unemployment benefits, supplementary allowances for non-working pensioners</t>
  </si>
  <si>
    <t>http://www-wds.worldbank.org/external/default/main?pagePK=64193027&amp;piPK=64187937&amp;theSitePK=523679&amp;menuPK=64187510&amp;searchMenuPK=64187283&amp;theSitePK=523679&amp;entityID=000012009_20040714101156&amp;searchMenuPK=64187283&amp;theSitePK=523679</t>
  </si>
  <si>
    <t>http://www-wds.worldbank.org/external/default/main?pagePK=64193027&amp;piPK=64187937&amp;theSitePK=523679&amp;menuPK=64187510&amp;searchMenuPK=64187283&amp;theSitePK=523679&amp;entityID=000094946_01101804062181&amp;searchMenuPK=64187283&amp;theSitePK=523679</t>
  </si>
  <si>
    <t>http://www-wds.worldbank.org/external/default/main?pagePK=64193027&amp;piPK=64187937&amp;theSitePK=523679&amp;menuPK=64187510&amp;searchMenuPK=64187283&amp;theSitePK=523679&amp;entityID=000090341_20030924104425&amp;searchMenuPK=64187283&amp;theSitePK=523679</t>
  </si>
  <si>
    <t>http://www-wds.worldbank.org/external/default/main?pagePK=64193027&amp;piPK=64187937&amp;theSitePK=523679&amp;menuPK=64187510&amp;searchMenuPK=64187283&amp;theSitePK=523679&amp;entityID=000094946_00061605362942&amp;searchMenuPK=64187283&amp;theSitePK=523679</t>
  </si>
  <si>
    <t>http://www-wds.worldbank.org/external/default/main?pagePK=64193027&amp;piPK=64187937&amp;theSitePK=523679&amp;menuPK=64187510&amp;searchMenuPK=64187283&amp;theSitePK=523679&amp;entityID=000094946_02080604011422&amp;searchMenuPK=64187283&amp;theSitePK=523679</t>
  </si>
  <si>
    <t>http://www-wds.worldbank.org/external/default/main?pagePK=64193027&amp;piPK=64187937&amp;theSitePK=523679&amp;menuPK=64187510&amp;searchMenuPK=64187283&amp;theSitePK=523679&amp;entityID=000094946_00121905412341&amp;searchMenuPK=64187283&amp;theSitePK=523679</t>
  </si>
  <si>
    <t>http://www-wds.worldbank.org/external/default/main?pagePK=64193027&amp;piPK=64187937&amp;theSitePK=523679&amp;menuPK=64187510&amp;searchMenuPK=64187283&amp;theSitePK=523679&amp;entityID=000094946_02071204032016&amp;searchMenuPK=64187283&amp;theSitePK=523679</t>
  </si>
  <si>
    <t>http://www-wds.worldbank.org/external/default/main?pagePK=64193027&amp;piPK=64187937&amp;theSitePK=523679&amp;menuPK=64187510&amp;searchMenuPK=64187283&amp;theSitePK=523679&amp;entityID=000160016_20030520121125&amp;searchMenuPK=64187283&amp;theSitePK=523679</t>
  </si>
  <si>
    <t>http://www-wds.worldbank.org/external/default/main?pagePK=64193027&amp;piPK=64187937&amp;theSitePK=523679&amp;menuPK=64187510&amp;searchMenuPK=64187283&amp;theSitePK=523679&amp;entityID=000090341_20030730105420&amp;searchMenuPK=64187283&amp;theSitePK=523679</t>
  </si>
  <si>
    <t>http://www-wds.worldbank.org/external/default/main?pagePK=64193027&amp;piPK=64187937&amp;theSitePK=523679&amp;menuPK=64187510&amp;searchMenuPK=64187283&amp;theSitePK=523679&amp;entityID=000094946_02101804424590&amp;searchMenuPK=64187283&amp;theSitePK=523679</t>
  </si>
  <si>
    <t>http://www-wds.worldbank.org/external/default/main?pagePK=64193027&amp;piPK=64187937&amp;theSitePK=523679&amp;menuPK=64187510&amp;searchMenuPK=64187283&amp;theSitePK=523679&amp;entityID=000094946_01112004005860&amp;searchMenuPK=64187283&amp;theSitePK=523679</t>
  </si>
  <si>
    <t>http://www-wds.worldbank.org/external/default/main?pagePK=64193027&amp;piPK=64187937&amp;theSitePK=523679&amp;menuPK=64187510&amp;searchMenuPK=64187283&amp;theSitePK=523679&amp;entityID=000094946_01100204031686&amp;searchMenuPK=64187283&amp;theSitePK=523679</t>
  </si>
  <si>
    <t>http://www-wds.worldbank.org/external/default/main?pagePK=64193027&amp;piPK=64187937&amp;theSitePK=523679&amp;menuPK=64187510&amp;searchMenuPK=64187283&amp;theSitePK=523679&amp;entityID=000094946_02122104005440&amp;searchMenuPK=64187283&amp;theSitePK=523679</t>
  </si>
  <si>
    <t>http://www-wds.worldbank.org/external/default/main?pagePK=64193027&amp;piPK=64187937&amp;theSitePK=523679&amp;menuPK=64187510&amp;searchMenuPK=64187283&amp;theSitePK=523679&amp;entityID=000090341_20031008132521&amp;searchMenuPK=64187283&amp;theSitePK=523679</t>
  </si>
  <si>
    <t>http://www-wds.worldbank.org/external/default/main?pagePK=64193027&amp;piPK=64187937&amp;theSitePK=523679&amp;menuPK=64187510&amp;searchMenuPK=64187283&amp;theSitePK=523679&amp;entityID=000094946_02041304004840&amp;searchMenuPK=64187283&amp;theSitePK=523679</t>
  </si>
  <si>
    <t>http://www-wds.worldbank.org/external/default/main?pagePK=64193027&amp;piPK=64187937&amp;theSitePK=523679&amp;menuPK=64187510&amp;searchMenuPK=64187283&amp;theSitePK=523679&amp;entityID=000160016_20031029100353&amp;searchMenuPK=64187283&amp;theSitePK=523679</t>
  </si>
  <si>
    <t>http://www-wds.worldbank.org/external/default/main?pagePK=64193027&amp;piPK=64187937&amp;theSitePK=523679&amp;menuPK=64187510&amp;searchMenuPK=64187283&amp;theSitePK=523679&amp;entityID=000094946_02122704010489&amp;searchMenuPK=64187283&amp;theSitePK=523679</t>
  </si>
  <si>
    <t>http://www-wds.worldbank.org/external/default/main?pagePK=64193027&amp;piPK=64187937&amp;theSitePK=523679&amp;menuPK=64187510&amp;searchMenuPK=64187283&amp;theSitePK=523679&amp;entityID=000094946_0109210412552&amp;searchMenuPK=64187283&amp;theSitePK=523679</t>
  </si>
  <si>
    <t>http://www-wds.worldbank.org/external/default/main?pagePK=64193027&amp;piPK=64187937&amp;theSitePK=523679&amp;menuPK=64187510&amp;searchMenuPK=64187283&amp;theSitePK=523679&amp;entityID=000160016_20030617131238&amp;searchMenuPK=64187283&amp;theSitePK=523679</t>
  </si>
  <si>
    <t>http://www-wds.worldbank.org/external/default/main?pagePK=64193027&amp;piPK=64187937&amp;theSitePK=523679&amp;menuPK=64187510&amp;searchMenuPK=64187283&amp;theSitePK=523679&amp;entityID=000012009_20050214105516&amp;searchMenuPK=64187283&amp;theSitePK=523679</t>
  </si>
  <si>
    <t>http://www-wds.worldbank.org/external/default/main?pagePK=64193027&amp;piPK=64187937&amp;theSitePK=523679&amp;menuPK=64187510&amp;searchMenuPK=64187283&amp;theSitePK=523679&amp;entityID=000094946_01072104010092&amp;searchMenuPK=64187283&amp;theSitePK=523679</t>
  </si>
  <si>
    <t>http://www-wds.worldbank.org/external/default/main?pagePK=64193027&amp;piPK=64187937&amp;theSitePK=523679&amp;menuPK=64187510&amp;searchMenuPK=64187283&amp;theSitePK=523679&amp;entityID=000160016_20031205111436&amp;searchMenuPK=64187283&amp;theSitePK=523679</t>
  </si>
  <si>
    <t>early childhood development programs and school feeding, workfare and elderly programs, initiatives assisting the internally displaced population, national programs to alleviate the impact of high unemployment rate and human capital risk</t>
  </si>
  <si>
    <t>social insurance pensions and related benefits</t>
  </si>
  <si>
    <t>cash transfer programs, food-based programs such as school lunches, direct food donations, programs that provide food at subsidized prices, consumption subsidies such as gas and essential drugs program</t>
  </si>
  <si>
    <t>pension scheme for formal, private and public sectors, main sub-programs being accident coverage, maternity and sickness, disability, old age pensions and survival</t>
  </si>
  <si>
    <t>transfers, subsidies, disaster management, micro-credit programs</t>
  </si>
  <si>
    <t>social security program for formal sector workers including individual retirement funds, disability and life insurance programs, for government workers including retirement pension, access to health facilities, subsidized pharmacies and retail stores, and housing finance assistance, and basic health coverage for workers not covered by social security.</t>
  </si>
  <si>
    <t>cash transfer programs, food-based programs, school scholarships for vulnerable population, labour programs. Excludes housing.</t>
  </si>
  <si>
    <t>Programs for children and adolescents, programs for hurricace ctims, community employment programs, social assistance unders social fund, natural disaster program, etc.</t>
  </si>
  <si>
    <t>Pensions and unemployment benefits</t>
  </si>
  <si>
    <t>Targeted cash transfers and child and family allowance</t>
  </si>
  <si>
    <t>Croatia, Regaining Fiscal Sustainability and Enhancing Effectiveness, A Public Expenditure and Institutional Review, November 2001, Report No. 22155-HR</t>
  </si>
  <si>
    <t>Pensions, sickness and maternity benefits, and unemployment benefit</t>
  </si>
  <si>
    <t>Pensions, disability, survivors, sickness, maternity, employment related injury and redundancy benefits.</t>
  </si>
  <si>
    <t>Cash transfers, school feeding, education grants, public works, skills training and adult education, community based programs, off-isalnd medical care</t>
  </si>
  <si>
    <t>Food subsidies (81%), casual workers scheme (10%), social assistance to poor families (9%)</t>
  </si>
  <si>
    <t>Pensions (retirement, disability, social and survisors), compensation/allowance for maternity and sick leave</t>
  </si>
  <si>
    <t>Cash transfers to internally displaced persons (IDPs); and a limited poverty benefit programs</t>
  </si>
  <si>
    <t>Georgia, Public Expenditure Review, November 25, 2002, Report No. 22913-GE</t>
  </si>
  <si>
    <t>Long and short-term enefits for sickness, disability, retirement and survivors benefits</t>
  </si>
  <si>
    <t>OECS Fiscal Issues, draft, 2002</t>
  </si>
  <si>
    <t>Consumer subsidies (100%)</t>
  </si>
  <si>
    <t xml:space="preserve">Pensions, unemployment, health insurance, disability insurance/benefits </t>
  </si>
  <si>
    <t>Cash tranfers, non-contributory pensions, public works, wage subsidies, housing subsidies, fee waivers, food and nutrition</t>
  </si>
  <si>
    <t>Pensions, sickness, maternity and funeral benefits</t>
  </si>
  <si>
    <t>Kyrgyz Republic, Enhancing Pro-poor Growth, September 30, 2003, Report No. 24638-KG</t>
  </si>
  <si>
    <t>Old-age and other pensions, unemployment benefits</t>
  </si>
  <si>
    <t>Cash transfers (housing benefit, health (care) benefit, low-income family cash benefit and other benefits) and in kind benefits (housing, social care and rehabilitation) and other social transfers (scholarships, sickness benefits, funeral grant)</t>
  </si>
  <si>
    <t>Pensions and disability,  unemployment  health insurance</t>
  </si>
  <si>
    <t>Means-tested cash benefits</t>
  </si>
  <si>
    <t>FYR of Macedonia Public Expenditure and Institutional Review, April 2, 2002, Report No. 23349-MK</t>
  </si>
  <si>
    <t>Safety Net Programs in Madagascar: Strategic Issues and Options (2004)</t>
  </si>
  <si>
    <t>Pensions, retirement gratuities and death gratuities for public sector workers</t>
  </si>
  <si>
    <t>Transfers</t>
  </si>
  <si>
    <t>Malawi Public Expenditures, Issues and Options, September 2001, Report No. 22440 MAI</t>
  </si>
  <si>
    <t>Welfare for poor; social assistance programs for elderly, disabled, orphans, and other vulnerable groups; retraining and retrenchment benefits for the unemployed</t>
  </si>
  <si>
    <t>labour-intensive works, nutrition, emergency response to natural disasters, school and health fee waivers</t>
  </si>
  <si>
    <t>Bolivia Public Expenditure Management for Fiscal Sustainability and Equitable and Efficient Public Services, November 18, 2004, Report No. 28519-BO</t>
  </si>
  <si>
    <t>Pensions (old-age, permanent disability and survivor's) and short term benefits (sickness, temporary disability, and maternity benefits, funeral grant, work injury and illness benefits, unemployment benefit)</t>
  </si>
  <si>
    <t>Social assistance pension (old age, permanent disability, and survivors) one time and short term benefits (maternity, child care, infant grant, twins grant, guardian benefit)</t>
  </si>
  <si>
    <t>Mongolia Public Expenditure and Financial Management Review, Bridging the Public Expenditure Management Gap, June 2002, Report No. 24439-MOG</t>
  </si>
  <si>
    <t>Contributory pensions (76%), health insurance (6%), family allowances (18%)</t>
  </si>
  <si>
    <t>Food subsidies (84%), public works (11%), Entraide Nationale (5%)</t>
  </si>
  <si>
    <t>Old Age, Disability, and Survivors Insurance, employees' Health Care Insurance and workers' Compensation Insurance.</t>
  </si>
  <si>
    <t>Pensions, unemployment benefits</t>
  </si>
  <si>
    <t>Old age and invalidity pensions, survivors’ benefits, unemployment insurance, severance payments, maternity and child benefits, sick leave, funeral benefits</t>
  </si>
  <si>
    <t>Minimum Income Guarantee benefits, heating subsidies, state child allowance and supplementary child benefit</t>
  </si>
  <si>
    <t>Romania Poverty Assessment, (In Two Volumes) Volume I: Main Report, September 30, 2003, Report No. 26169-RO</t>
  </si>
  <si>
    <t>Pensions, sickness and maternity benefits, unemployment benefits</t>
  </si>
  <si>
    <t>Cash and in-kind benefits for the poor and disabled, child and parent allowances, social and wives' pension, subsidies for spa care, birth and death grants, housing allowance, institutional care, active labor market programs</t>
  </si>
  <si>
    <t>Slovak Republic Development Policy Review, (In Two Volumes) Volume II: Main Report, November 2002, Report No.25211 -SK</t>
  </si>
  <si>
    <t>Pensions, disability, temporary illness, survivors, maternity, employment injury, medical and funeral expenses and funds fr non-contributory pensions and invalidity assistace</t>
  </si>
  <si>
    <t>Short-term benefits for sicknes, employment injur, maternity and funeral expenses, long term benefits for invalidy grants/pension, retiremet grants/pension and survivors grants/pension</t>
  </si>
  <si>
    <t>Pensions for elderly, disabled and survivors</t>
  </si>
  <si>
    <t>Spending on Social Safety Nets:</t>
  </si>
  <si>
    <t xml:space="preserve"> Comparative Data compiled from World Bank Analytic Work</t>
  </si>
  <si>
    <t>2000-2001</t>
  </si>
  <si>
    <t>1998-1999</t>
  </si>
  <si>
    <t>1999-2000</t>
  </si>
  <si>
    <t>Botswana</t>
  </si>
  <si>
    <t>Proteccion Social en el Peru - Como mejorar los resultados para los pobres?</t>
  </si>
  <si>
    <t>http://siteresources.worldbank.org/INTPERUINSPANISH/Resources/ProteccionSocialPeru.pdf</t>
  </si>
  <si>
    <t>social welfare and relief (mostly social assistance and natural disaster relief)</t>
  </si>
  <si>
    <t>social insurance, active labor market programs</t>
  </si>
  <si>
    <t>WVS (e035 median)</t>
  </si>
  <si>
    <t>Median</t>
  </si>
  <si>
    <t>AFR average</t>
  </si>
  <si>
    <t>AFR median</t>
  </si>
  <si>
    <t>EAP average</t>
  </si>
  <si>
    <t>EAP median</t>
  </si>
  <si>
    <t>ECA average</t>
  </si>
  <si>
    <t>ECA median</t>
  </si>
  <si>
    <t>LAC average</t>
  </si>
  <si>
    <t>LAC median</t>
  </si>
  <si>
    <t>MENA average</t>
  </si>
  <si>
    <t>MENA median</t>
  </si>
  <si>
    <t>SA average</t>
  </si>
  <si>
    <t>SA median</t>
  </si>
  <si>
    <t>http://www-wds.worldbank.org/external/default/main?pagePK=64193027&amp;piPK=64187937&amp;theSitePK=523679&amp;menuPK=64187510&amp;searchMenuPK=64187282&amp;theSitePK=523679&amp;entityID=000094946_0104140845140&amp;searchMenuPK=64187282&amp;theSitePK=523679</t>
  </si>
  <si>
    <t>Investing in human capital for growth, prosperity, and poverty reduction</t>
  </si>
  <si>
    <t>2005/06</t>
  </si>
  <si>
    <t>data from Cornelia Tesliuc (LCSHS)</t>
  </si>
  <si>
    <t>income support programs, school based programs, community based programs, labor market interventions, housing programs, feeding programs, grants to NGOs</t>
  </si>
  <si>
    <t>pensions, health benefits</t>
  </si>
  <si>
    <t>Review of Government Programs and Spending Priorities for Social Welfare Social Protection and Social Development: Phase I (Rosario Manasan, October 2006)</t>
  </si>
  <si>
    <t>cash and in-kind transfers, public works programs, community-based programs, livelihood creation, provision of basic social services</t>
  </si>
  <si>
    <t>http://www-wds.worldbank.org/external/default/main?pagePK=64193027&amp;piPK=64187937&amp;theSitePK=523679&amp;menuPK=64187510&amp;searchMenuPK=64187283&amp;theSitePK=523679&amp;entityID=000012009_20050421093233&amp;searchMenuPK=64187283&amp;theSitePK=523679</t>
  </si>
  <si>
    <t>Jamaica - Fiscal consolidation for growth and poverty reduction - a Public Expenditure Review</t>
  </si>
  <si>
    <t>social security and welfare</t>
  </si>
  <si>
    <t>Country Code</t>
  </si>
  <si>
    <t>Country Name</t>
  </si>
  <si>
    <t>Series Code</t>
  </si>
  <si>
    <t>Series Name</t>
  </si>
  <si>
    <t>AFG</t>
  </si>
  <si>
    <t>SI.POV.NAHC</t>
  </si>
  <si>
    <t>Poverty headcount ratio at national poverty line (% of population)</t>
  </si>
  <si>
    <t>SI.POV.2DAY</t>
  </si>
  <si>
    <t>Poverty headcount ratio at $2 a day (PPP) (% of population)</t>
  </si>
  <si>
    <t>SI.POV.DDAY</t>
  </si>
  <si>
    <t>Poverty headcount ratio at $1 a day (PPP) (% of population)</t>
  </si>
  <si>
    <t>SI.POV.GAPS</t>
  </si>
  <si>
    <t>Poverty gap at $1 a day (PPP) (%)</t>
  </si>
  <si>
    <t>SI.POV.GAP2</t>
  </si>
  <si>
    <t>Poverty gap at $2 a day (PPP) (%)</t>
  </si>
  <si>
    <t>SP.POP.TOTL</t>
  </si>
  <si>
    <t>Population, total</t>
  </si>
  <si>
    <t>SE.XPD.TOTL.GD.ZS</t>
  </si>
  <si>
    <t>Public spending on education, total (% of GDP)</t>
  </si>
  <si>
    <t>SE.XPD.TOTL.GB.ZS</t>
  </si>
  <si>
    <t>Public spending on education, total (% of government expenditure)</t>
  </si>
  <si>
    <t>SH.XPD.PUBL</t>
  </si>
  <si>
    <t>Health expenditure, public (% of total health expenditure)</t>
  </si>
  <si>
    <t>SH.XPD.PUBL.ZS</t>
  </si>
  <si>
    <t>Health expenditure, public (% of GDP)</t>
  </si>
  <si>
    <t>SH.XPD.TOTL.ZS</t>
  </si>
  <si>
    <t>Health expenditure, total (% of GDP)</t>
  </si>
  <si>
    <t>NY.GDP.MKTP.CN</t>
  </si>
  <si>
    <t>GDP (current LCU)</t>
  </si>
  <si>
    <t>NY.GDP.MKTP.CD</t>
  </si>
  <si>
    <t>GDP (current US$)</t>
  </si>
  <si>
    <t>NY.GDP.PCAP.PP.CD</t>
  </si>
  <si>
    <t>GDP per capita, PPP (current international $)</t>
  </si>
  <si>
    <t>NY.GDP.PCAP.PP.KD</t>
  </si>
  <si>
    <t>GDP per capita, PPP (constant 2000 international $)</t>
  </si>
  <si>
    <t>SI.POV.GINI</t>
  </si>
  <si>
    <t>GINI index</t>
  </si>
  <si>
    <t>ALB</t>
  </si>
  <si>
    <t>DZA</t>
  </si>
  <si>
    <t>ARG</t>
  </si>
  <si>
    <t>ARM</t>
  </si>
  <si>
    <t>AZE</t>
  </si>
  <si>
    <t>BHR</t>
  </si>
  <si>
    <t>BGD</t>
  </si>
  <si>
    <t>BLR</t>
  </si>
  <si>
    <t>BEN</t>
  </si>
  <si>
    <t>BOL</t>
  </si>
  <si>
    <t>BIH</t>
  </si>
  <si>
    <t>BWA</t>
  </si>
  <si>
    <t>BRA</t>
  </si>
  <si>
    <t>BGR</t>
  </si>
  <si>
    <t>BFA</t>
  </si>
  <si>
    <t>KHM</t>
  </si>
  <si>
    <t>CHL</t>
  </si>
  <si>
    <t>COL</t>
  </si>
  <si>
    <t>CHN</t>
  </si>
  <si>
    <t>China</t>
  </si>
  <si>
    <t>CRI</t>
  </si>
  <si>
    <t>HRV</t>
  </si>
  <si>
    <t>CZE</t>
  </si>
  <si>
    <t>DJI</t>
  </si>
  <si>
    <t>DMA</t>
  </si>
  <si>
    <t>DOM</t>
  </si>
  <si>
    <t>ECU</t>
  </si>
  <si>
    <t>EGY</t>
  </si>
  <si>
    <t>Egypt, Arab Rep.</t>
  </si>
  <si>
    <t>SLV</t>
  </si>
  <si>
    <t>ETH</t>
  </si>
  <si>
    <t>GEO</t>
  </si>
  <si>
    <t>GRD</t>
  </si>
  <si>
    <t>GTM</t>
  </si>
  <si>
    <t>GUY</t>
  </si>
  <si>
    <t>HND</t>
  </si>
  <si>
    <t>HUN</t>
  </si>
  <si>
    <t>IND</t>
  </si>
  <si>
    <t>IDN</t>
  </si>
  <si>
    <t>IRN</t>
  </si>
  <si>
    <t>Iran, Islamic Rep.</t>
  </si>
  <si>
    <t>IRQ</t>
  </si>
  <si>
    <t>JAM</t>
  </si>
  <si>
    <t>JOR</t>
  </si>
  <si>
    <t>KAZ</t>
  </si>
  <si>
    <t>PRK</t>
  </si>
  <si>
    <t>Korea, Dem. Rep.</t>
  </si>
  <si>
    <t>KOR</t>
  </si>
  <si>
    <t>Korea, Rep.</t>
  </si>
  <si>
    <t>KWT</t>
  </si>
  <si>
    <t>KGZ</t>
  </si>
  <si>
    <t>LVA</t>
  </si>
  <si>
    <t>LBN</t>
  </si>
  <si>
    <t>MKD</t>
  </si>
  <si>
    <t>Macedonia, FYR</t>
  </si>
  <si>
    <t>MDG</t>
  </si>
  <si>
    <t>MWI</t>
  </si>
  <si>
    <t>MYS</t>
  </si>
  <si>
    <t>MDV</t>
  </si>
  <si>
    <t>MUS</t>
  </si>
  <si>
    <t>MEX</t>
  </si>
  <si>
    <t>MDA</t>
  </si>
  <si>
    <t>MNG</t>
  </si>
  <si>
    <t>MNE</t>
  </si>
  <si>
    <t>MAR</t>
  </si>
  <si>
    <t>NIC</t>
  </si>
  <si>
    <t>PAK</t>
  </si>
  <si>
    <t>PAN</t>
  </si>
  <si>
    <t>PRY</t>
  </si>
  <si>
    <t>PER</t>
  </si>
  <si>
    <t>PHL</t>
  </si>
  <si>
    <t>POL</t>
  </si>
  <si>
    <t>ROM</t>
  </si>
  <si>
    <t>RUS</t>
  </si>
  <si>
    <t>SEN</t>
  </si>
  <si>
    <t>SRB</t>
  </si>
  <si>
    <t>SVK</t>
  </si>
  <si>
    <t>SVN</t>
  </si>
  <si>
    <t>Slovenia</t>
  </si>
  <si>
    <t>ZAF</t>
  </si>
  <si>
    <t>LKA</t>
  </si>
  <si>
    <t>KNA</t>
  </si>
  <si>
    <t>LCA</t>
  </si>
  <si>
    <t>VCT</t>
  </si>
  <si>
    <t>St. Vincent and the Grenadines</t>
  </si>
  <si>
    <t>SYR</t>
  </si>
  <si>
    <t>Syrian Arab Republic</t>
  </si>
  <si>
    <t>TJK</t>
  </si>
  <si>
    <t>THA</t>
  </si>
  <si>
    <t>TUN</t>
  </si>
  <si>
    <t>TUR</t>
  </si>
  <si>
    <t>URY</t>
  </si>
  <si>
    <t>UZB</t>
  </si>
  <si>
    <t>VEN</t>
  </si>
  <si>
    <t>Venezuela, RB</t>
  </si>
  <si>
    <t>VNM</t>
  </si>
  <si>
    <t>WBG</t>
  </si>
  <si>
    <t>YEM</t>
  </si>
  <si>
    <t>Yemen, Rep.</t>
  </si>
  <si>
    <t>ID</t>
  </si>
  <si>
    <t>NE.CON.GOVT.ZS</t>
  </si>
  <si>
    <t>General government final consumption expenditure (% of GDP)</t>
  </si>
  <si>
    <t>GC.XPN.TOTL.GD.ZS</t>
  </si>
  <si>
    <t>Expense (% of GDP)</t>
  </si>
  <si>
    <t>UKR</t>
  </si>
  <si>
    <t>Social Assistance as a % of Social Protection</t>
  </si>
  <si>
    <t>URL (where available)</t>
  </si>
  <si>
    <t>MENA database; Reducing Vulnerability and Increasing Opportunity, Social Protection in the Middle East and North Africa, Report No.24559</t>
  </si>
  <si>
    <t>MENA database; Reducing Vulnerability and Increasing Opportunity, Social Protection in MENA, 2000</t>
  </si>
  <si>
    <t>Czech Republic, Enhancing the Prospects for Growth with Fiscal Stability, September 2001, A WORLD BANK COUNTRY STUDY 22887</t>
  </si>
  <si>
    <t>Malaysia Public Expenditures, Managing the Crisis; Challenging the Future, May 22, 2000, Report No. 20371 -MA</t>
  </si>
  <si>
    <t>MENA database; Kingdom of Morocco Poverty Update, (In Two Volumes) Volume II: Annexes, March 30, 2001, Report No. 21506-MOR; Reducing Vulnerability and Increasing Opportunity, Social Protection in the Middle East and North Africa, Report No.24559</t>
  </si>
  <si>
    <t>http://imagebank.worldbank.org/servlet/WDS_IBank_Servlet?pcont=details&amp;menuPK=64154159&amp;searchMenuPK=64154240&amp;theSitePK=501889&amp;eid=000094946_01052204005063&amp;siteName=IMAGEBANK; http://www-wds.worldbank.org/servlet/WDSContentServer/WDSP/IB/2002/08/09/000094946_02073004020126/Rendered/PDF/multi0page.pdf</t>
  </si>
  <si>
    <t>Thailand Country Development Partnership, Social Protection, June 2002, Report No. 24377</t>
  </si>
  <si>
    <t>MENA database; Social Conditions Update, 2000; Reducing Vulnerability and Increasing Opportunity, Social Protection in the Middle East and North Africa, Report No.24559</t>
  </si>
  <si>
    <t>Vietnam, Managing Public Resources Better, Public Expenditure Review 2000, (In Two Volumes) Volume I and II, December 13, 2000, Report No. 21021 -VN</t>
  </si>
  <si>
    <t>not given</t>
  </si>
  <si>
    <t>Social Insurance coverage</t>
  </si>
  <si>
    <t>Social Assistance coverage</t>
  </si>
  <si>
    <t>SA</t>
  </si>
  <si>
    <t>ECA</t>
  </si>
  <si>
    <t>MENA</t>
  </si>
  <si>
    <t>LAC</t>
  </si>
  <si>
    <t>EAP</t>
  </si>
  <si>
    <t>AFR</t>
  </si>
  <si>
    <t>East Asia Pacific</t>
  </si>
  <si>
    <t>Eastern and Central Europe</t>
  </si>
  <si>
    <t>Latin America and Carribean</t>
  </si>
  <si>
    <t>Middle East and Northern Africa</t>
  </si>
  <si>
    <t>South Asia</t>
  </si>
  <si>
    <t>Africa Sub-Saharan</t>
  </si>
  <si>
    <t>Region</t>
  </si>
  <si>
    <t>Social Assistance</t>
  </si>
  <si>
    <t>OECD 23</t>
  </si>
  <si>
    <t>Middle East and North Africa</t>
  </si>
  <si>
    <t>East Asia and Pacific</t>
  </si>
  <si>
    <t>Maternity benefits, illness, disability and death benefits, disability benefits, pensions, child allowances</t>
  </si>
  <si>
    <t>Cash transfers (family allowance, social pension ); in-kind transfers (subsidized medical services, housing programs, school feeding, social services); job creation schemes and public works</t>
  </si>
  <si>
    <t>Contributory pensions (79%), health insurance (21%), does not include family allowances</t>
  </si>
  <si>
    <t>Food subsidies (73%), direct transfers to the poor and handicapped (22%), public works (5%)</t>
  </si>
  <si>
    <t xml:space="preserve">Pensions, maternity, child grant, employment related programs                                                            </t>
  </si>
  <si>
    <t>Slovakia</t>
  </si>
  <si>
    <t>Rep. of Moldova</t>
  </si>
  <si>
    <t>Viet Nam</t>
  </si>
  <si>
    <t>Yemen</t>
  </si>
  <si>
    <t>Syrian Arab Rep.</t>
  </si>
  <si>
    <t>Egypt</t>
  </si>
  <si>
    <t>Dominican Rep.</t>
  </si>
  <si>
    <t>Kyrgyztan</t>
  </si>
  <si>
    <t>Czech Rep.</t>
  </si>
  <si>
    <t>Rep. of. Moldova</t>
  </si>
  <si>
    <t xml:space="preserve">Figure 6.9 </t>
  </si>
  <si>
    <r>
      <t xml:space="preserve">Social assistance expenditure, 75 countries, 2008 </t>
    </r>
    <r>
      <rPr>
        <sz val="11"/>
        <color indexed="8"/>
        <rFont val="Arial"/>
        <family val="2"/>
      </rPr>
      <t>(percentage of GDP)</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</si>
</sst>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 #,##0_);_(* \(#,##0\);_(* &quot;-&quot;??_);_(@_)"/>
    <numFmt numFmtId="182" formatCode="0.0%"/>
    <numFmt numFmtId="183" formatCode="0.000"/>
    <numFmt numFmtId="184" formatCode="_(* #,##0.0_);_(* \(#,##0.0\);_(* &quot;-&quot;??_);_(@_)"/>
    <numFmt numFmtId="185" formatCode="0.00000"/>
    <numFmt numFmtId="186" formatCode="0.0000"/>
    <numFmt numFmtId="187" formatCode="&quot;Yes&quot;;&quot;Yes&quot;;&quot;No&quot;"/>
    <numFmt numFmtId="188" formatCode="&quot;True&quot;;&quot;True&quot;;&quot;False&quot;"/>
    <numFmt numFmtId="189" formatCode="&quot;On&quot;;&quot;On&quot;;&quot;Off&quot;"/>
    <numFmt numFmtId="190" formatCode="0.0000000000"/>
    <numFmt numFmtId="191" formatCode="0.00000000000"/>
    <numFmt numFmtId="192" formatCode="0.000000000"/>
    <numFmt numFmtId="193" formatCode="0.00000000"/>
    <numFmt numFmtId="194" formatCode="0.0000000"/>
    <numFmt numFmtId="195" formatCode="0.000000"/>
    <numFmt numFmtId="196" formatCode="m/d/yy"/>
    <numFmt numFmtId="197" formatCode="_(* #,##0_);\(* #,##0\);_(* &quot;-&quot;_);_(@_)"/>
    <numFmt numFmtId="198" formatCode="_(&quot;$&quot;* #,##0_);\(&quot;$&quot;* #,##0\);_(&quot;$&quot;* &quot;-&quot;_);_(@_)"/>
    <numFmt numFmtId="199" formatCode="_(* #,##0.00_);\(* #,##0.00\);_(* &quot;-&quot;??_);_(@_)"/>
    <numFmt numFmtId="200" formatCode="_(&quot;$&quot;* #,##0.00_);\(&quot;$&quot;* #,##0.00\);_(&quot;$&quot;* &quot;-&quot;??_);_(@_)"/>
    <numFmt numFmtId="201" formatCode="#,##0.0"/>
    <numFmt numFmtId="202" formatCode="#,##0.000"/>
    <numFmt numFmtId="203" formatCode="dd\-mmm\-yyyy"/>
    <numFmt numFmtId="204" formatCode="[$€-2]\ #,##0.00_);[Red]\([$€-2]\ #,##0.00\)"/>
    <numFmt numFmtId="205" formatCode="&quot;Vrai&quot;;&quot;Vrai&quot;;&quot;Faux&quot;"/>
    <numFmt numFmtId="206" formatCode="&quot;Actif&quot;;&quot;Actif&quot;;&quot;Inactif&quot;"/>
  </numFmts>
  <fonts count="63">
    <font>
      <sz val="10"/>
      <name val="Arial"/>
      <family val="0"/>
    </font>
    <font>
      <b/>
      <sz val="10"/>
      <name val="Times New Roman"/>
      <family val="1"/>
    </font>
    <font>
      <sz val="10"/>
      <name val="Times New Roman"/>
      <family val="1"/>
    </font>
    <font>
      <u val="single"/>
      <sz val="10"/>
      <color indexed="36"/>
      <name val="Arial"/>
      <family val="2"/>
    </font>
    <font>
      <u val="single"/>
      <sz val="10"/>
      <color indexed="12"/>
      <name val="Arial"/>
      <family val="2"/>
    </font>
    <font>
      <sz val="12"/>
      <name val="Times"/>
      <family val="1"/>
    </font>
    <font>
      <b/>
      <sz val="12"/>
      <name val="Arial"/>
      <family val="2"/>
    </font>
    <font>
      <sz val="10"/>
      <color indexed="10"/>
      <name val="Times New Roman"/>
      <family val="1"/>
    </font>
    <font>
      <sz val="8"/>
      <name val="Tahoma"/>
      <family val="2"/>
    </font>
    <font>
      <b/>
      <sz val="8"/>
      <name val="Tahoma"/>
      <family val="2"/>
    </font>
    <font>
      <sz val="10"/>
      <color indexed="10"/>
      <name val="Arial"/>
      <family val="2"/>
    </font>
    <font>
      <sz val="10"/>
      <color indexed="20"/>
      <name val="Arial"/>
      <family val="2"/>
    </font>
    <font>
      <sz val="10"/>
      <color indexed="12"/>
      <name val="Arial"/>
      <family val="2"/>
    </font>
    <font>
      <sz val="10"/>
      <color indexed="8"/>
      <name val="MS Sans Serif"/>
      <family val="2"/>
    </font>
    <font>
      <sz val="10"/>
      <color indexed="20"/>
      <name val="Times New Roman"/>
      <family val="1"/>
    </font>
    <font>
      <b/>
      <sz val="10"/>
      <name val="Arial"/>
      <family val="2"/>
    </font>
    <font>
      <b/>
      <sz val="10"/>
      <color indexed="12"/>
      <name val="Times New Roman"/>
      <family val="1"/>
    </font>
    <font>
      <strike/>
      <sz val="10"/>
      <name val="Arial"/>
      <family val="2"/>
    </font>
    <font>
      <strik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Arial"/>
      <family val="2"/>
    </font>
    <font>
      <sz val="11"/>
      <color indexed="8"/>
      <name val="Arial"/>
      <family val="2"/>
    </font>
    <font>
      <b/>
      <sz val="8"/>
      <color indexed="10"/>
      <name val="Arial"/>
      <family val="0"/>
    </font>
    <font>
      <sz val="8"/>
      <color indexed="8"/>
      <name val="Arial"/>
      <family val="0"/>
    </font>
    <font>
      <b/>
      <sz val="8"/>
      <color indexed="8"/>
      <name val="Arial"/>
      <family val="0"/>
    </font>
    <font>
      <b/>
      <i/>
      <sz val="8"/>
      <color indexed="12"/>
      <name val="Arial"/>
      <family val="0"/>
    </font>
    <font>
      <sz val="7"/>
      <color indexed="8"/>
      <name val="Arial"/>
      <family val="0"/>
    </font>
    <font>
      <sz val="4"/>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medium"/>
      <top style="thin"/>
      <bottom style="thin"/>
    </border>
    <border>
      <left style="thin"/>
      <right>
        <color indexed="63"/>
      </right>
      <top style="medium"/>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medium"/>
      <right>
        <color indexed="63"/>
      </right>
      <top>
        <color indexed="63"/>
      </top>
      <bottom style="thin"/>
    </border>
    <border>
      <left style="thin"/>
      <right>
        <color indexed="63"/>
      </right>
      <top>
        <color indexed="63"/>
      </top>
      <bottom>
        <color indexed="63"/>
      </bottom>
    </border>
    <border>
      <left style="thin"/>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color indexed="63"/>
      </left>
      <right style="thin"/>
      <top style="thin"/>
      <bottom>
        <color indexed="63"/>
      </bottom>
    </border>
    <border>
      <left style="thin"/>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40">
    <xf numFmtId="0" fontId="0" fillId="0" borderId="0" xfId="0" applyAlignment="1">
      <alignment/>
    </xf>
    <xf numFmtId="0" fontId="1" fillId="0" borderId="10" xfId="0" applyFont="1" applyBorder="1" applyAlignment="1">
      <alignment horizontal="center" wrapText="1"/>
    </xf>
    <xf numFmtId="0" fontId="1" fillId="0" borderId="11" xfId="0" applyFont="1" applyBorder="1" applyAlignment="1">
      <alignment horizontal="center" wrapText="1"/>
    </xf>
    <xf numFmtId="0" fontId="2" fillId="0" borderId="12" xfId="0" applyFont="1" applyBorder="1" applyAlignment="1">
      <alignment horizontal="left" vertical="center"/>
    </xf>
    <xf numFmtId="180" fontId="2" fillId="0" borderId="13" xfId="0" applyNumberFormat="1" applyFont="1" applyFill="1" applyBorder="1" applyAlignment="1">
      <alignment horizontal="center" vertical="center"/>
    </xf>
    <xf numFmtId="180" fontId="2" fillId="0" borderId="13"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0" fontId="2" fillId="0" borderId="13" xfId="0" applyFont="1" applyBorder="1" applyAlignment="1">
      <alignment horizontal="center" vertical="center"/>
    </xf>
    <xf numFmtId="180" fontId="2" fillId="0" borderId="13" xfId="0" applyNumberFormat="1" applyFont="1" applyBorder="1" applyAlignment="1">
      <alignment horizontal="center" vertical="center"/>
    </xf>
    <xf numFmtId="180"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1" fontId="2" fillId="0" borderId="13" xfId="0" applyNumberFormat="1" applyFont="1" applyBorder="1" applyAlignment="1">
      <alignment horizontal="center" vertical="center" wrapText="1"/>
    </xf>
    <xf numFmtId="0" fontId="2" fillId="0" borderId="12" xfId="0" applyFont="1" applyBorder="1" applyAlignment="1">
      <alignment horizontal="left" vertical="center" wrapText="1"/>
    </xf>
    <xf numFmtId="180" fontId="2" fillId="0" borderId="12" xfId="0" applyNumberFormat="1" applyFont="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center" vertical="center" wrapText="1"/>
    </xf>
    <xf numFmtId="0" fontId="0" fillId="0" borderId="0" xfId="0" applyAlignment="1">
      <alignment/>
    </xf>
    <xf numFmtId="0" fontId="2" fillId="0" borderId="13" xfId="0" applyFont="1" applyBorder="1" applyAlignment="1">
      <alignment horizontal="left" vertical="center"/>
    </xf>
    <xf numFmtId="0" fontId="6" fillId="33" borderId="0" xfId="0" applyFont="1" applyFill="1" applyAlignment="1">
      <alignment horizontal="centerContinuous"/>
    </xf>
    <xf numFmtId="0" fontId="0" fillId="33" borderId="0" xfId="0" applyFill="1" applyAlignment="1">
      <alignment horizontal="centerContinuous"/>
    </xf>
    <xf numFmtId="0" fontId="5" fillId="33" borderId="0" xfId="0" applyNumberFormat="1" applyFont="1" applyFill="1" applyAlignment="1">
      <alignment horizontal="center"/>
    </xf>
    <xf numFmtId="0" fontId="0" fillId="33" borderId="0" xfId="0" applyFill="1" applyAlignment="1">
      <alignment/>
    </xf>
    <xf numFmtId="0" fontId="2" fillId="0" borderId="13" xfId="0" applyFont="1" applyBorder="1" applyAlignment="1">
      <alignment horizontal="left" vertical="center" wrapText="1"/>
    </xf>
    <xf numFmtId="0" fontId="1" fillId="0" borderId="11" xfId="0" applyFont="1" applyBorder="1" applyAlignment="1">
      <alignment horizontal="center"/>
    </xf>
    <xf numFmtId="0" fontId="2" fillId="0" borderId="0" xfId="0" applyFont="1" applyFill="1" applyBorder="1" applyAlignment="1">
      <alignment horizontal="left" vertical="center"/>
    </xf>
    <xf numFmtId="0" fontId="0" fillId="34" borderId="0" xfId="0" applyFill="1" applyBorder="1" applyAlignment="1">
      <alignment/>
    </xf>
    <xf numFmtId="0" fontId="0" fillId="34" borderId="14" xfId="0" applyFill="1" applyBorder="1" applyAlignment="1">
      <alignment/>
    </xf>
    <xf numFmtId="180" fontId="2" fillId="34" borderId="14" xfId="0" applyNumberFormat="1" applyFont="1" applyFill="1" applyBorder="1" applyAlignment="1">
      <alignment horizontal="center" vertical="center"/>
    </xf>
    <xf numFmtId="180" fontId="2" fillId="34" borderId="14" xfId="0" applyNumberFormat="1" applyFont="1" applyFill="1" applyBorder="1" applyAlignment="1">
      <alignment horizontal="center" vertical="center" wrapText="1"/>
    </xf>
    <xf numFmtId="1" fontId="2" fillId="34" borderId="14" xfId="0" applyNumberFormat="1" applyFont="1" applyFill="1" applyBorder="1" applyAlignment="1">
      <alignment horizontal="center" vertical="center" wrapText="1"/>
    </xf>
    <xf numFmtId="0" fontId="2" fillId="34" borderId="14" xfId="0" applyFont="1" applyFill="1" applyBorder="1" applyAlignment="1">
      <alignment horizontal="left" vertical="center" wrapText="1"/>
    </xf>
    <xf numFmtId="0" fontId="1" fillId="34" borderId="15" xfId="0" applyFont="1" applyFill="1" applyBorder="1" applyAlignment="1">
      <alignment horizontal="center" wrapText="1"/>
    </xf>
    <xf numFmtId="0" fontId="1" fillId="34" borderId="15" xfId="0" applyFont="1" applyFill="1" applyBorder="1" applyAlignment="1">
      <alignment horizontal="center"/>
    </xf>
    <xf numFmtId="0" fontId="2" fillId="0" borderId="13" xfId="0" applyFont="1" applyFill="1" applyBorder="1" applyAlignment="1">
      <alignment horizontal="left" vertical="center" wrapText="1"/>
    </xf>
    <xf numFmtId="0" fontId="0" fillId="35" borderId="0" xfId="0" applyFill="1" applyAlignment="1">
      <alignment/>
    </xf>
    <xf numFmtId="0" fontId="2" fillId="0" borderId="16" xfId="0" applyFont="1" applyBorder="1" applyAlignment="1">
      <alignment vertical="top" wrapText="1"/>
    </xf>
    <xf numFmtId="0" fontId="2" fillId="0" borderId="13" xfId="0" applyFont="1" applyBorder="1" applyAlignment="1">
      <alignment vertical="top" wrapText="1"/>
    </xf>
    <xf numFmtId="0" fontId="0" fillId="0" borderId="0" xfId="0" applyFill="1" applyAlignment="1">
      <alignment/>
    </xf>
    <xf numFmtId="0" fontId="2" fillId="0" borderId="13" xfId="0" applyFont="1" applyFill="1" applyBorder="1" applyAlignment="1">
      <alignment horizontal="left" vertical="center"/>
    </xf>
    <xf numFmtId="2" fontId="2" fillId="0" borderId="13"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180" fontId="2" fillId="0" borderId="12" xfId="0" applyNumberFormat="1" applyFont="1" applyFill="1" applyBorder="1" applyAlignment="1">
      <alignment horizontal="left" vertical="center"/>
    </xf>
    <xf numFmtId="0" fontId="1" fillId="0" borderId="17" xfId="0" applyFont="1" applyBorder="1" applyAlignment="1">
      <alignment horizontal="center" wrapText="1"/>
    </xf>
    <xf numFmtId="0" fontId="1" fillId="0" borderId="13" xfId="0" applyFont="1" applyBorder="1" applyAlignment="1">
      <alignment horizontal="center" wrapText="1"/>
    </xf>
    <xf numFmtId="0" fontId="0" fillId="0" borderId="0" xfId="0" applyFill="1" applyBorder="1" applyAlignment="1">
      <alignment/>
    </xf>
    <xf numFmtId="16" fontId="0" fillId="0" borderId="0" xfId="0" applyNumberFormat="1" applyAlignment="1">
      <alignment/>
    </xf>
    <xf numFmtId="0" fontId="2" fillId="0" borderId="13"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19" xfId="0" applyFont="1" applyBorder="1" applyAlignment="1">
      <alignment horizontal="left" vertical="center"/>
    </xf>
    <xf numFmtId="180" fontId="2" fillId="0" borderId="20" xfId="0" applyNumberFormat="1" applyFont="1" applyFill="1" applyBorder="1" applyAlignment="1">
      <alignment horizontal="center" vertical="center"/>
    </xf>
    <xf numFmtId="180" fontId="2" fillId="0" borderId="20" xfId="0" applyNumberFormat="1" applyFont="1" applyFill="1" applyBorder="1" applyAlignment="1">
      <alignment horizontal="center" vertical="center" wrapText="1"/>
    </xf>
    <xf numFmtId="180" fontId="2" fillId="0" borderId="20" xfId="0" applyNumberFormat="1" applyFont="1" applyBorder="1" applyAlignment="1">
      <alignment horizontal="center" vertical="center" wrapText="1"/>
    </xf>
    <xf numFmtId="1" fontId="2" fillId="0" borderId="20" xfId="0" applyNumberFormat="1" applyFont="1" applyFill="1" applyBorder="1" applyAlignment="1">
      <alignment horizontal="center" vertical="center" wrapText="1"/>
    </xf>
    <xf numFmtId="0" fontId="2" fillId="0" borderId="20" xfId="0" applyFont="1" applyBorder="1" applyAlignment="1">
      <alignment horizontal="left" vertical="center" wrapText="1"/>
    </xf>
    <xf numFmtId="0" fontId="0" fillId="34" borderId="15" xfId="0" applyFill="1" applyBorder="1" applyAlignment="1">
      <alignment/>
    </xf>
    <xf numFmtId="180" fontId="2" fillId="34" borderId="15" xfId="0" applyNumberFormat="1" applyFont="1" applyFill="1" applyBorder="1" applyAlignment="1">
      <alignment horizontal="center" vertical="center"/>
    </xf>
    <xf numFmtId="180" fontId="2" fillId="34" borderId="15" xfId="0" applyNumberFormat="1" applyFont="1" applyFill="1" applyBorder="1" applyAlignment="1">
      <alignment horizontal="center" vertical="center" wrapText="1"/>
    </xf>
    <xf numFmtId="1" fontId="2" fillId="34" borderId="15" xfId="0" applyNumberFormat="1" applyFont="1" applyFill="1" applyBorder="1" applyAlignment="1">
      <alignment horizontal="center" vertical="center" wrapText="1"/>
    </xf>
    <xf numFmtId="0" fontId="2" fillId="34" borderId="15" xfId="0" applyFont="1" applyFill="1" applyBorder="1" applyAlignment="1">
      <alignment horizontal="left" vertical="center" wrapText="1"/>
    </xf>
    <xf numFmtId="0" fontId="0" fillId="0" borderId="13" xfId="0" applyBorder="1" applyAlignment="1">
      <alignment/>
    </xf>
    <xf numFmtId="0" fontId="2" fillId="0" borderId="15" xfId="0" applyFont="1" applyBorder="1" applyAlignment="1">
      <alignment horizontal="left" vertical="center"/>
    </xf>
    <xf numFmtId="11" fontId="0" fillId="0" borderId="0" xfId="0" applyNumberFormat="1" applyAlignment="1">
      <alignment/>
    </xf>
    <xf numFmtId="0" fontId="12" fillId="0" borderId="0" xfId="0" applyFont="1" applyAlignment="1">
      <alignment/>
    </xf>
    <xf numFmtId="0" fontId="2" fillId="0" borderId="21" xfId="0" applyFont="1" applyBorder="1" applyAlignment="1">
      <alignment horizontal="left" vertical="center"/>
    </xf>
    <xf numFmtId="180" fontId="11" fillId="0" borderId="13" xfId="0"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180" fontId="12" fillId="0" borderId="13" xfId="0" applyNumberFormat="1" applyFont="1" applyFill="1" applyBorder="1" applyAlignment="1">
      <alignment horizontal="center" vertical="center"/>
    </xf>
    <xf numFmtId="201" fontId="0" fillId="0" borderId="0" xfId="0" applyNumberFormat="1" applyFill="1" applyBorder="1" applyAlignment="1">
      <alignment horizontal="center"/>
    </xf>
    <xf numFmtId="0" fontId="0" fillId="0" borderId="22" xfId="0" applyFill="1" applyBorder="1" applyAlignment="1">
      <alignment/>
    </xf>
    <xf numFmtId="201" fontId="0" fillId="0" borderId="0" xfId="0" applyNumberFormat="1" applyFill="1" applyAlignment="1">
      <alignment horizontal="center"/>
    </xf>
    <xf numFmtId="0" fontId="0" fillId="0" borderId="12" xfId="0" applyBorder="1" applyAlignment="1">
      <alignment/>
    </xf>
    <xf numFmtId="0" fontId="1" fillId="0" borderId="23" xfId="0" applyFont="1" applyBorder="1" applyAlignment="1">
      <alignment horizontal="center" wrapText="1"/>
    </xf>
    <xf numFmtId="0" fontId="1" fillId="34" borderId="24" xfId="0" applyFont="1" applyFill="1" applyBorder="1" applyAlignment="1">
      <alignment horizontal="center" wrapText="1"/>
    </xf>
    <xf numFmtId="0" fontId="2" fillId="0" borderId="16" xfId="0" applyFont="1" applyBorder="1" applyAlignment="1">
      <alignment horizontal="left" vertical="center"/>
    </xf>
    <xf numFmtId="0" fontId="2" fillId="34" borderId="24" xfId="0" applyFont="1" applyFill="1" applyBorder="1" applyAlignment="1">
      <alignment horizontal="left" vertical="center"/>
    </xf>
    <xf numFmtId="0" fontId="2" fillId="34" borderId="25" xfId="0" applyFont="1" applyFill="1" applyBorder="1" applyAlignment="1">
      <alignment horizontal="left" vertical="center"/>
    </xf>
    <xf numFmtId="0" fontId="4" fillId="0" borderId="16" xfId="46" applyBorder="1" applyAlignment="1" applyProtection="1">
      <alignment horizontal="left" vertical="center"/>
      <protection/>
    </xf>
    <xf numFmtId="0" fontId="2" fillId="0" borderId="16" xfId="0" applyFont="1" applyFill="1" applyBorder="1" applyAlignment="1">
      <alignment horizontal="left" vertical="center"/>
    </xf>
    <xf numFmtId="0" fontId="0" fillId="0" borderId="14" xfId="0" applyFill="1" applyBorder="1" applyAlignment="1">
      <alignment/>
    </xf>
    <xf numFmtId="0" fontId="2" fillId="0" borderId="26" xfId="0" applyFont="1" applyBorder="1" applyAlignment="1">
      <alignment horizontal="centerContinuous" vertical="center" wrapText="1"/>
    </xf>
    <xf numFmtId="0" fontId="2" fillId="0" borderId="18" xfId="0" applyFont="1" applyBorder="1" applyAlignment="1">
      <alignment horizontal="centerContinuous" vertical="center" wrapText="1"/>
    </xf>
    <xf numFmtId="0" fontId="2" fillId="0" borderId="26" xfId="0" applyFont="1" applyBorder="1" applyAlignment="1">
      <alignment vertical="top" wrapText="1"/>
    </xf>
    <xf numFmtId="0" fontId="2" fillId="0" borderId="27" xfId="0" applyFont="1" applyBorder="1" applyAlignment="1">
      <alignment horizontal="left" vertical="center"/>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35" borderId="0" xfId="0" applyFont="1" applyFill="1" applyAlignment="1">
      <alignment/>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Alignment="1">
      <alignment/>
    </xf>
    <xf numFmtId="0" fontId="0" fillId="0" borderId="0" xfId="0" applyFont="1" applyBorder="1" applyAlignment="1">
      <alignment/>
    </xf>
    <xf numFmtId="0" fontId="4" fillId="0" borderId="22" xfId="46" applyFill="1" applyBorder="1" applyAlignment="1" applyProtection="1">
      <alignment horizontal="left" vertical="center" wrapText="1"/>
      <protection/>
    </xf>
    <xf numFmtId="0" fontId="0" fillId="0" borderId="13" xfId="0" applyFont="1" applyFill="1" applyBorder="1" applyAlignment="1">
      <alignment vertical="center" wrapText="1"/>
    </xf>
    <xf numFmtId="0" fontId="4" fillId="0" borderId="28" xfId="46" applyBorder="1" applyAlignment="1" applyProtection="1">
      <alignment horizontal="left" vertical="center"/>
      <protection/>
    </xf>
    <xf numFmtId="0" fontId="4" fillId="0" borderId="16" xfId="46" applyFill="1" applyBorder="1" applyAlignment="1" applyProtection="1">
      <alignment horizontal="left" vertical="center"/>
      <protection/>
    </xf>
    <xf numFmtId="0" fontId="4" fillId="0" borderId="16" xfId="46" applyFill="1" applyBorder="1" applyAlignment="1" applyProtection="1">
      <alignment horizontal="left" vertical="center" wrapText="1"/>
      <protection/>
    </xf>
    <xf numFmtId="180" fontId="14" fillId="0" borderId="13" xfId="0" applyNumberFormat="1" applyFont="1" applyFill="1" applyBorder="1" applyAlignment="1">
      <alignment horizontal="center" vertical="center"/>
    </xf>
    <xf numFmtId="1" fontId="14"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180" fontId="10" fillId="0" borderId="13" xfId="0" applyNumberFormat="1" applyFont="1" applyFill="1" applyBorder="1" applyAlignment="1">
      <alignment horizontal="center" vertical="center"/>
    </xf>
    <xf numFmtId="3" fontId="10" fillId="0" borderId="13" xfId="0" applyNumberFormat="1" applyFont="1" applyFill="1" applyBorder="1" applyAlignment="1">
      <alignment horizontal="center" vertical="center"/>
    </xf>
    <xf numFmtId="180"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1" fillId="0" borderId="0" xfId="0" applyFont="1" applyFill="1" applyBorder="1" applyAlignment="1">
      <alignment horizontal="center" wrapText="1"/>
    </xf>
    <xf numFmtId="3" fontId="0" fillId="0" borderId="0" xfId="0" applyNumberFormat="1" applyFont="1" applyFill="1" applyBorder="1" applyAlignment="1">
      <alignment horizontal="center"/>
    </xf>
    <xf numFmtId="201" fontId="0" fillId="0" borderId="0" xfId="0" applyNumberFormat="1" applyFont="1" applyFill="1" applyBorder="1" applyAlignment="1">
      <alignment horizontal="center"/>
    </xf>
    <xf numFmtId="180" fontId="0" fillId="0" borderId="0" xfId="0" applyNumberFormat="1" applyFont="1" applyFill="1" applyBorder="1" applyAlignment="1">
      <alignment/>
    </xf>
    <xf numFmtId="0" fontId="0" fillId="0" borderId="0" xfId="0" applyFont="1" applyFill="1" applyBorder="1" applyAlignment="1">
      <alignment/>
    </xf>
    <xf numFmtId="0" fontId="15" fillId="0" borderId="0" xfId="0" applyFont="1" applyFill="1" applyBorder="1" applyAlignment="1">
      <alignment/>
    </xf>
    <xf numFmtId="0" fontId="1" fillId="0" borderId="0" xfId="0" applyFont="1" applyFill="1" applyBorder="1" applyAlignment="1">
      <alignment horizontal="left" vertical="center"/>
    </xf>
    <xf numFmtId="1" fontId="1" fillId="0" borderId="0" xfId="0" applyNumberFormat="1" applyFont="1" applyFill="1" applyBorder="1" applyAlignment="1">
      <alignment horizontal="center" vertical="center" wrapText="1"/>
    </xf>
    <xf numFmtId="180" fontId="16" fillId="0" borderId="0" xfId="0" applyNumberFormat="1" applyFont="1" applyFill="1" applyBorder="1" applyAlignment="1">
      <alignment horizontal="center" vertical="center" wrapText="1"/>
    </xf>
    <xf numFmtId="180" fontId="14" fillId="0" borderId="13" xfId="0" applyNumberFormat="1" applyFont="1" applyFill="1" applyBorder="1" applyAlignment="1">
      <alignment horizontal="center" vertical="center" wrapText="1"/>
    </xf>
    <xf numFmtId="20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80" fontId="0" fillId="0" borderId="0" xfId="0" applyNumberFormat="1" applyFont="1" applyFill="1" applyBorder="1" applyAlignment="1">
      <alignment/>
    </xf>
    <xf numFmtId="0" fontId="17" fillId="0" borderId="0" xfId="0" applyFont="1" applyFill="1" applyBorder="1" applyAlignment="1">
      <alignment/>
    </xf>
    <xf numFmtId="0" fontId="18" fillId="0" borderId="0" xfId="0" applyFont="1" applyFill="1" applyBorder="1" applyAlignment="1">
      <alignment horizontal="left" vertical="center"/>
    </xf>
    <xf numFmtId="180" fontId="18" fillId="0" borderId="0" xfId="0" applyNumberFormat="1" applyFont="1" applyFill="1" applyBorder="1" applyAlignment="1">
      <alignment horizontal="center" vertical="center" wrapText="1"/>
    </xf>
    <xf numFmtId="1" fontId="18" fillId="0" borderId="0" xfId="0" applyNumberFormat="1" applyFont="1" applyFill="1" applyBorder="1" applyAlignment="1">
      <alignment horizontal="center" vertical="center" wrapText="1"/>
    </xf>
    <xf numFmtId="201" fontId="17" fillId="0" borderId="0" xfId="0" applyNumberFormat="1" applyFont="1" applyFill="1" applyBorder="1" applyAlignment="1">
      <alignment horizontal="center"/>
    </xf>
    <xf numFmtId="0" fontId="2" fillId="0" borderId="26" xfId="0" applyFont="1" applyFill="1" applyBorder="1" applyAlignment="1">
      <alignment horizontal="left" vertical="center" wrapText="1"/>
    </xf>
    <xf numFmtId="0" fontId="0" fillId="0" borderId="18" xfId="0" applyBorder="1" applyAlignment="1">
      <alignment horizontal="left" vertical="center" wrapText="1"/>
    </xf>
    <xf numFmtId="0" fontId="0" fillId="36" borderId="0" xfId="0" applyFill="1" applyBorder="1" applyAlignment="1">
      <alignment/>
    </xf>
    <xf numFmtId="0" fontId="2" fillId="36" borderId="0" xfId="0" applyFont="1" applyFill="1" applyBorder="1" applyAlignment="1">
      <alignment horizontal="left" vertical="center"/>
    </xf>
    <xf numFmtId="180" fontId="14" fillId="36" borderId="0" xfId="0" applyNumberFormat="1" applyFont="1" applyFill="1" applyBorder="1" applyAlignment="1">
      <alignment horizontal="center" vertical="center"/>
    </xf>
    <xf numFmtId="1" fontId="14" fillId="36" borderId="0" xfId="0" applyNumberFormat="1" applyFont="1" applyFill="1" applyBorder="1" applyAlignment="1">
      <alignment horizontal="center" vertical="center"/>
    </xf>
    <xf numFmtId="180" fontId="2" fillId="36" borderId="0" xfId="0" applyNumberFormat="1" applyFont="1" applyFill="1" applyBorder="1" applyAlignment="1">
      <alignment horizontal="center" vertical="center"/>
    </xf>
    <xf numFmtId="1" fontId="2" fillId="36" borderId="0" xfId="0" applyNumberFormat="1" applyFont="1" applyFill="1" applyBorder="1" applyAlignment="1">
      <alignment horizontal="center" vertical="center"/>
    </xf>
    <xf numFmtId="0" fontId="2" fillId="36" borderId="0" xfId="0" applyFont="1" applyFill="1" applyBorder="1" applyAlignment="1">
      <alignment horizontal="left" vertical="center" wrapText="1"/>
    </xf>
    <xf numFmtId="180" fontId="2" fillId="36" borderId="0" xfId="0" applyNumberFormat="1" applyFont="1" applyFill="1" applyBorder="1" applyAlignment="1">
      <alignment horizontal="left" vertical="center"/>
    </xf>
    <xf numFmtId="0" fontId="0" fillId="36" borderId="15" xfId="0" applyFill="1" applyBorder="1" applyAlignment="1">
      <alignment/>
    </xf>
    <xf numFmtId="0" fontId="1" fillId="36" borderId="15" xfId="0" applyFont="1" applyFill="1" applyBorder="1" applyAlignment="1">
      <alignment horizontal="center" wrapText="1"/>
    </xf>
    <xf numFmtId="0" fontId="2" fillId="36" borderId="15" xfId="0" applyFont="1" applyFill="1" applyBorder="1" applyAlignment="1">
      <alignment horizontal="left" vertical="center"/>
    </xf>
    <xf numFmtId="180" fontId="2" fillId="36" borderId="15" xfId="0" applyNumberFormat="1" applyFont="1" applyFill="1" applyBorder="1" applyAlignment="1">
      <alignment horizontal="center" vertical="center"/>
    </xf>
    <xf numFmtId="1" fontId="2" fillId="36" borderId="15" xfId="0" applyNumberFormat="1" applyFont="1" applyFill="1" applyBorder="1" applyAlignment="1">
      <alignment horizontal="center" vertical="center"/>
    </xf>
    <xf numFmtId="0" fontId="61" fillId="0" borderId="0" xfId="0" applyFont="1" applyAlignment="1">
      <alignment/>
    </xf>
    <xf numFmtId="0" fontId="61" fillId="0" borderId="0" xfId="0" applyFont="1" applyAlignment="1">
      <alignment wrapText="1"/>
    </xf>
    <xf numFmtId="0" fontId="0" fillId="0" borderId="0" xfId="0" applyAlignment="1">
      <alignment wrapText="1"/>
    </xf>
  </cellXfs>
  <cellStyles count="50">
    <cellStyle name="Normal" xfId="0"/>
    <cellStyle name="&#13;&#10;JournalTemplate=C:\COMFO\CTALK\JOURSTD.TPL&#13;&#10;LbStateAddress=3 3 0 251 1 89 2 311&#13;&#10;LbStateJou" xfId="15"/>
    <cellStyle name="20 % - Accent1" xfId="16"/>
    <cellStyle name="20 % - Accent2" xfId="17"/>
    <cellStyle name="20 % - Accent3" xfId="18"/>
    <cellStyle name="20 % - Accent4" xfId="19"/>
    <cellStyle name="20 % - Accent5" xfId="20"/>
    <cellStyle name="20 % - Accent6" xfId="21"/>
    <cellStyle name="40 % - Accent1" xfId="22"/>
    <cellStyle name="40 % - Accent2" xfId="23"/>
    <cellStyle name="40 % - Accent3" xfId="24"/>
    <cellStyle name="40 % - Accent4" xfId="25"/>
    <cellStyle name="40 % - Accent5" xfId="26"/>
    <cellStyle name="40 % - Accent6"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ommentaire"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75"/>
          <c:y val="0.023"/>
          <c:w val="0.86675"/>
          <c:h val="0.9275"/>
        </c:manualLayout>
      </c:layout>
      <c:barChart>
        <c:barDir val="bar"/>
        <c:grouping val="cluster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6.9'!$B$6:$B$78</c:f>
              <c:strCache>
                <c:ptCount val="73"/>
                <c:pt idx="0">
                  <c:v>Senegal</c:v>
                </c:pt>
                <c:pt idx="1">
                  <c:v>Maldives</c:v>
                </c:pt>
                <c:pt idx="2">
                  <c:v>Tajikistan</c:v>
                </c:pt>
                <c:pt idx="3">
                  <c:v>Philippines</c:v>
                </c:pt>
                <c:pt idx="4">
                  <c:v>Lebanon</c:v>
                </c:pt>
                <c:pt idx="5">
                  <c:v>Pakistan</c:v>
                </c:pt>
                <c:pt idx="6">
                  <c:v>Paraguay</c:v>
                </c:pt>
                <c:pt idx="7">
                  <c:v>China</c:v>
                </c:pt>
                <c:pt idx="8">
                  <c:v>Uruguay</c:v>
                </c:pt>
                <c:pt idx="9">
                  <c:v>Colombia</c:v>
                </c:pt>
                <c:pt idx="10">
                  <c:v>Venezuela, RB</c:v>
                </c:pt>
                <c:pt idx="11">
                  <c:v>Bangladesh</c:v>
                </c:pt>
                <c:pt idx="12">
                  <c:v>Chile</c:v>
                </c:pt>
                <c:pt idx="13">
                  <c:v>Kyrgyztan</c:v>
                </c:pt>
                <c:pt idx="14">
                  <c:v>Peru</c:v>
                </c:pt>
                <c:pt idx="15">
                  <c:v>Jamaica</c:v>
                </c:pt>
                <c:pt idx="16">
                  <c:v>Madagascar</c:v>
                </c:pt>
                <c:pt idx="17">
                  <c:v>El Salvador</c:v>
                </c:pt>
                <c:pt idx="18">
                  <c:v>Mexico</c:v>
                </c:pt>
                <c:pt idx="19">
                  <c:v>Sri Lanka</c:v>
                </c:pt>
                <c:pt idx="20">
                  <c:v>St. Kitts and Nevis</c:v>
                </c:pt>
                <c:pt idx="21">
                  <c:v>Yemen</c:v>
                </c:pt>
                <c:pt idx="22">
                  <c:v>Poland</c:v>
                </c:pt>
                <c:pt idx="23">
                  <c:v>Ecuador</c:v>
                </c:pt>
                <c:pt idx="24">
                  <c:v>Guatemala</c:v>
                </c:pt>
                <c:pt idx="25">
                  <c:v>Nicaragua</c:v>
                </c:pt>
                <c:pt idx="26">
                  <c:v>Romania</c:v>
                </c:pt>
                <c:pt idx="27">
                  <c:v>Viet Nam</c:v>
                </c:pt>
                <c:pt idx="28">
                  <c:v>Albania</c:v>
                </c:pt>
                <c:pt idx="29">
                  <c:v>Bulgaria</c:v>
                </c:pt>
                <c:pt idx="30">
                  <c:v>Indonesia</c:v>
                </c:pt>
                <c:pt idx="31">
                  <c:v>Jordan</c:v>
                </c:pt>
                <c:pt idx="32">
                  <c:v>Latvia</c:v>
                </c:pt>
                <c:pt idx="33">
                  <c:v>Mongolia</c:v>
                </c:pt>
                <c:pt idx="34">
                  <c:v>Brazil</c:v>
                </c:pt>
                <c:pt idx="35">
                  <c:v>Macedonia, FYR</c:v>
                </c:pt>
                <c:pt idx="36">
                  <c:v>Serbia</c:v>
                </c:pt>
                <c:pt idx="37">
                  <c:v>Argentina</c:v>
                </c:pt>
                <c:pt idx="38">
                  <c:v>Costa Rica</c:v>
                </c:pt>
                <c:pt idx="39">
                  <c:v>Georgia</c:v>
                </c:pt>
                <c:pt idx="40">
                  <c:v>Azerbaijan</c:v>
                </c:pt>
                <c:pt idx="41">
                  <c:v>Grenada</c:v>
                </c:pt>
                <c:pt idx="42">
                  <c:v>Egypt</c:v>
                </c:pt>
                <c:pt idx="43">
                  <c:v>Dominican Rep.</c:v>
                </c:pt>
                <c:pt idx="44">
                  <c:v>Panama</c:v>
                </c:pt>
                <c:pt idx="45">
                  <c:v>Rep. of. Moldova</c:v>
                </c:pt>
                <c:pt idx="46">
                  <c:v>Croatia</c:v>
                </c:pt>
                <c:pt idx="47">
                  <c:v>Russian Federation</c:v>
                </c:pt>
                <c:pt idx="48">
                  <c:v>Morocco</c:v>
                </c:pt>
                <c:pt idx="49">
                  <c:v>Bolivia</c:v>
                </c:pt>
                <c:pt idx="50">
                  <c:v>Montenegro</c:v>
                </c:pt>
                <c:pt idx="51">
                  <c:v>St. Lucia</c:v>
                </c:pt>
                <c:pt idx="52">
                  <c:v>Uzbekistan</c:v>
                </c:pt>
                <c:pt idx="53">
                  <c:v>Armenia</c:v>
                </c:pt>
                <c:pt idx="54">
                  <c:v>Turkey</c:v>
                </c:pt>
                <c:pt idx="55">
                  <c:v>Dominica</c:v>
                </c:pt>
                <c:pt idx="56">
                  <c:v>India</c:v>
                </c:pt>
                <c:pt idx="57">
                  <c:v>Kazakhstan</c:v>
                </c:pt>
                <c:pt idx="58">
                  <c:v>St. Vincent and the Grenadines</c:v>
                </c:pt>
                <c:pt idx="59">
                  <c:v>Tunisia</c:v>
                </c:pt>
                <c:pt idx="60">
                  <c:v>Czech Rep.</c:v>
                </c:pt>
                <c:pt idx="61">
                  <c:v>Honduras</c:v>
                </c:pt>
                <c:pt idx="62">
                  <c:v>Kosovo</c:v>
                </c:pt>
                <c:pt idx="63">
                  <c:v>Iran, Islamic Rep.</c:v>
                </c:pt>
                <c:pt idx="64">
                  <c:v>South Africa</c:v>
                </c:pt>
                <c:pt idx="65">
                  <c:v>Ukraine</c:v>
                </c:pt>
                <c:pt idx="66">
                  <c:v>Algeria</c:v>
                </c:pt>
                <c:pt idx="67">
                  <c:v>Slovakia</c:v>
                </c:pt>
                <c:pt idx="68">
                  <c:v>Malawi</c:v>
                </c:pt>
                <c:pt idx="69">
                  <c:v>Ethiopia</c:v>
                </c:pt>
                <c:pt idx="70">
                  <c:v>Djibouti</c:v>
                </c:pt>
                <c:pt idx="71">
                  <c:v>Mauritius</c:v>
                </c:pt>
                <c:pt idx="72">
                  <c:v>Bosnia and Herzegovina</c:v>
                </c:pt>
              </c:strCache>
            </c:strRef>
          </c:cat>
          <c:val>
            <c:numRef>
              <c:f>'Data fig 6.9'!$D$6:$D$78</c:f>
              <c:numCache>
                <c:ptCount val="73"/>
                <c:pt idx="0">
                  <c:v>0.15</c:v>
                </c:pt>
                <c:pt idx="1">
                  <c:v>0.2</c:v>
                </c:pt>
                <c:pt idx="2">
                  <c:v>0.2</c:v>
                </c:pt>
                <c:pt idx="3">
                  <c:v>0.22</c:v>
                </c:pt>
                <c:pt idx="4">
                  <c:v>0.4</c:v>
                </c:pt>
                <c:pt idx="5">
                  <c:v>0.4</c:v>
                </c:pt>
                <c:pt idx="6">
                  <c:v>0.4</c:v>
                </c:pt>
                <c:pt idx="7">
                  <c:v>0.43</c:v>
                </c:pt>
                <c:pt idx="8">
                  <c:v>0.5</c:v>
                </c:pt>
                <c:pt idx="9">
                  <c:v>0.6</c:v>
                </c:pt>
                <c:pt idx="10">
                  <c:v>0.64</c:v>
                </c:pt>
                <c:pt idx="11">
                  <c:v>0.7</c:v>
                </c:pt>
                <c:pt idx="12">
                  <c:v>0.7</c:v>
                </c:pt>
                <c:pt idx="13">
                  <c:v>0.7</c:v>
                </c:pt>
                <c:pt idx="14">
                  <c:v>0.71</c:v>
                </c:pt>
                <c:pt idx="15">
                  <c:v>0.76</c:v>
                </c:pt>
                <c:pt idx="16">
                  <c:v>0.9</c:v>
                </c:pt>
                <c:pt idx="17">
                  <c:v>1</c:v>
                </c:pt>
                <c:pt idx="18">
                  <c:v>1</c:v>
                </c:pt>
                <c:pt idx="19">
                  <c:v>1</c:v>
                </c:pt>
                <c:pt idx="20">
                  <c:v>1</c:v>
                </c:pt>
                <c:pt idx="21">
                  <c:v>1</c:v>
                </c:pt>
                <c:pt idx="22">
                  <c:v>1.06</c:v>
                </c:pt>
                <c:pt idx="23">
                  <c:v>1.1</c:v>
                </c:pt>
                <c:pt idx="24">
                  <c:v>1.1</c:v>
                </c:pt>
                <c:pt idx="25">
                  <c:v>1.1</c:v>
                </c:pt>
                <c:pt idx="26">
                  <c:v>1.1</c:v>
                </c:pt>
                <c:pt idx="27">
                  <c:v>1.1</c:v>
                </c:pt>
                <c:pt idx="28">
                  <c:v>1.2</c:v>
                </c:pt>
                <c:pt idx="29">
                  <c:v>1.2</c:v>
                </c:pt>
                <c:pt idx="30">
                  <c:v>1.3</c:v>
                </c:pt>
                <c:pt idx="31">
                  <c:v>1.31</c:v>
                </c:pt>
                <c:pt idx="32">
                  <c:v>1.345</c:v>
                </c:pt>
                <c:pt idx="33">
                  <c:v>1.3505000000000003</c:v>
                </c:pt>
                <c:pt idx="34">
                  <c:v>1.4</c:v>
                </c:pt>
                <c:pt idx="35">
                  <c:v>1.4</c:v>
                </c:pt>
                <c:pt idx="36">
                  <c:v>1.4</c:v>
                </c:pt>
                <c:pt idx="37">
                  <c:v>1.5</c:v>
                </c:pt>
                <c:pt idx="38">
                  <c:v>1.5</c:v>
                </c:pt>
                <c:pt idx="39">
                  <c:v>1.5</c:v>
                </c:pt>
                <c:pt idx="40">
                  <c:v>1.6</c:v>
                </c:pt>
                <c:pt idx="41">
                  <c:v>1.6</c:v>
                </c:pt>
                <c:pt idx="42">
                  <c:v>1.61</c:v>
                </c:pt>
                <c:pt idx="43">
                  <c:v>1.7</c:v>
                </c:pt>
                <c:pt idx="44">
                  <c:v>1.7</c:v>
                </c:pt>
                <c:pt idx="45">
                  <c:v>1.7</c:v>
                </c:pt>
                <c:pt idx="46">
                  <c:v>1.8</c:v>
                </c:pt>
                <c:pt idx="47">
                  <c:v>1.8</c:v>
                </c:pt>
                <c:pt idx="48">
                  <c:v>1.9</c:v>
                </c:pt>
                <c:pt idx="49">
                  <c:v>2</c:v>
                </c:pt>
                <c:pt idx="50">
                  <c:v>2</c:v>
                </c:pt>
                <c:pt idx="51">
                  <c:v>2</c:v>
                </c:pt>
                <c:pt idx="52">
                  <c:v>2</c:v>
                </c:pt>
                <c:pt idx="53">
                  <c:v>2.1</c:v>
                </c:pt>
                <c:pt idx="54">
                  <c:v>2.1000000000000005</c:v>
                </c:pt>
                <c:pt idx="55">
                  <c:v>2.15</c:v>
                </c:pt>
                <c:pt idx="56">
                  <c:v>2.1999999999999997</c:v>
                </c:pt>
                <c:pt idx="57">
                  <c:v>2.2</c:v>
                </c:pt>
                <c:pt idx="58">
                  <c:v>2.3184</c:v>
                </c:pt>
                <c:pt idx="59">
                  <c:v>2.32</c:v>
                </c:pt>
                <c:pt idx="60">
                  <c:v>2.4</c:v>
                </c:pt>
                <c:pt idx="61">
                  <c:v>2.5</c:v>
                </c:pt>
                <c:pt idx="62">
                  <c:v>2.5</c:v>
                </c:pt>
                <c:pt idx="63">
                  <c:v>2.7</c:v>
                </c:pt>
                <c:pt idx="64">
                  <c:v>3.2</c:v>
                </c:pt>
                <c:pt idx="65">
                  <c:v>3.2</c:v>
                </c:pt>
                <c:pt idx="66">
                  <c:v>3.7</c:v>
                </c:pt>
                <c:pt idx="67">
                  <c:v>3.7</c:v>
                </c:pt>
                <c:pt idx="68">
                  <c:v>4.4</c:v>
                </c:pt>
                <c:pt idx="69">
                  <c:v>4.5</c:v>
                </c:pt>
                <c:pt idx="70">
                  <c:v>4.9</c:v>
                </c:pt>
                <c:pt idx="71">
                  <c:v>5.3</c:v>
                </c:pt>
                <c:pt idx="72">
                  <c:v>6.9</c:v>
                </c:pt>
              </c:numCache>
            </c:numRef>
          </c:val>
        </c:ser>
        <c:gapWidth val="50"/>
        <c:axId val="50601251"/>
        <c:axId val="52758076"/>
      </c:barChart>
      <c:catAx>
        <c:axId val="5060125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crossAx val="52758076"/>
        <c:crosses val="autoZero"/>
        <c:auto val="1"/>
        <c:lblOffset val="100"/>
        <c:tickLblSkip val="1"/>
        <c:noMultiLvlLbl val="0"/>
      </c:catAx>
      <c:valAx>
        <c:axId val="52758076"/>
        <c:scaling>
          <c:orientation val="minMax"/>
          <c:max val="7"/>
        </c:scaling>
        <c:axPos val="b"/>
        <c:title>
          <c:tx>
            <c:rich>
              <a:bodyPr vert="horz" rot="0" anchor="ctr"/>
              <a:lstStyle/>
              <a:p>
                <a:pPr algn="ctr">
                  <a:defRPr/>
                </a:pPr>
                <a:r>
                  <a:rPr lang="en-US" cap="none" sz="800" b="0" i="0" u="none" baseline="0">
                    <a:solidFill>
                      <a:srgbClr val="000000"/>
                    </a:solidFill>
                    <a:latin typeface="Arial"/>
                    <a:ea typeface="Arial"/>
                    <a:cs typeface="Arial"/>
                  </a:rPr>
                  <a:t>Percentage of GDP</a:t>
                </a:r>
              </a:p>
            </c:rich>
          </c:tx>
          <c:layout>
            <c:manualLayout>
              <c:xMode val="factor"/>
              <c:yMode val="factor"/>
              <c:x val="-0.002"/>
              <c:y val="-0.018"/>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crossAx val="5060125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tabColor indexed="42"/>
  </sheetPr>
  <sheetViews>
    <sheetView tabSelected="1" workbookViewId="0" zoomScale="45"/>
  </sheetViews>
  <pageMargins left="0.787401575" right="0.787401575" top="0.984251969" bottom="0.984251969" header="0.5" footer="0.5"/>
  <pageSetup horizontalDpi="600" verticalDpi="600" orientation="portrait"/>
  <headerFooter>
    <oddHeader>&amp;L&amp;D&amp;RDRAFT - NOT FOR QUOTATION</oddHeader>
    <oddFooter>&amp;CPlease provide comments and revised or additional data and reports to Christine Weigand (cweigand@worldbank.org). Thank you.</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9</xdr:col>
      <xdr:colOff>9525</xdr:colOff>
      <xdr:row>61</xdr:row>
      <xdr:rowOff>19050</xdr:rowOff>
    </xdr:to>
    <xdr:sp>
      <xdr:nvSpPr>
        <xdr:cNvPr id="1" name="Text Box 1"/>
        <xdr:cNvSpPr txBox="1">
          <a:spLocks noChangeArrowheads="1"/>
        </xdr:cNvSpPr>
      </xdr:nvSpPr>
      <xdr:spPr>
        <a:xfrm>
          <a:off x="9525" y="400050"/>
          <a:ext cx="5486400" cy="95821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FF0000"/>
              </a:solidFill>
              <a:latin typeface="Arial"/>
              <a:ea typeface="Arial"/>
              <a:cs typeface="Arial"/>
            </a:rPr>
            <a:t>The spending estimates presented here reflect the compilation of country-specific spending numbers reported in World Bank Analytical Work. The estimates in no way reflect the official position of the World Bank, its Executive Directors, or the countries they represent. As discussed in further detail below, these numbers are only estimates and are subject to a number of caveats. A complete list of the data and its sources can be found on the worksheet titled "DATA".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This spreadsheet presents the estimates of spending on social safety nets and social protection more broadly from 75 countries based on World Bank reports that tried to compile comprehensive country-specific numbers on the subject.  Details of the methods used to find pertinent reports and interpret the data are given in Box 1 below. In addition, this file contains a number of graphs generated using this data as well as data on health and education expenditures and GDP/capita PPP*.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This compilation suffers from two main flaws, </a:t>
          </a:r>
          <a:r>
            <a:rPr lang="en-US" cap="none" sz="800" b="1" i="0" u="none" baseline="0">
              <a:solidFill>
                <a:srgbClr val="000000"/>
              </a:solidFill>
              <a:latin typeface="Arial"/>
              <a:ea typeface="Arial"/>
              <a:cs typeface="Arial"/>
            </a:rPr>
            <a:t>incomplete coverage</a:t>
          </a:r>
          <a:r>
            <a:rPr lang="en-US" cap="none" sz="800" b="0" i="0" u="none" baseline="0">
              <a:solidFill>
                <a:srgbClr val="000000"/>
              </a:solidFill>
              <a:latin typeface="Arial"/>
              <a:ea typeface="Arial"/>
              <a:cs typeface="Arial"/>
            </a:rPr>
            <a:t> and problems of </a:t>
          </a:r>
          <a:r>
            <a:rPr lang="en-US" cap="none" sz="800" b="1" i="0" u="none" baseline="0">
              <a:solidFill>
                <a:srgbClr val="000000"/>
              </a:solidFill>
              <a:latin typeface="Arial"/>
              <a:ea typeface="Arial"/>
              <a:cs typeface="Arial"/>
            </a:rPr>
            <a:t>comparability</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Incomplete coverage:  </a:t>
          </a:r>
          <a:r>
            <a:rPr lang="en-US" cap="none" sz="800" b="0" i="0" u="none" baseline="0">
              <a:solidFill>
                <a:srgbClr val="000000"/>
              </a:solidFill>
              <a:latin typeface="Arial"/>
              <a:ea typeface="Arial"/>
              <a:cs typeface="Arial"/>
            </a:rPr>
            <a:t>We have been able to find data between the years of 1996 and 2006 that we are comfortable presenting for 87 countries.  Coverage is variable by region.  It is pretty good in ECA with 25 of 29 countries covered (and 96% of the population in the region covered).   But it is much worse in Africa, with 9 of 47 of the countries covered (and 18% of the population in the region covered.).  The countries we have data for are those where for some reason safety nets are prominent in the policy arena.  How much and in which direction this biases the results is unclear.  In some places the reason for prominence in policy dialogue is the fiscal need to reduce spending on social protection, in others it is because of a felt need to increase it.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Comparability: </a:t>
          </a:r>
          <a:r>
            <a:rPr lang="en-US" cap="none" sz="800" b="0" i="0" u="none" baseline="0">
              <a:solidFill>
                <a:srgbClr val="000000"/>
              </a:solidFill>
              <a:latin typeface="Arial"/>
              <a:ea typeface="Arial"/>
              <a:cs typeface="Arial"/>
            </a:rPr>
            <a:t> Because the compilations were done by authors almost as numerous as the number of countries covered, the precise definition of what to include in the safety net differed.  We report the composites largely as they occur in the reports, trusting the judgment of the authors of the individual reports to include what was pertinent and manageable to find in any given country.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source: WDI 2005. Series used are "health expenditure, public (% of GDP)" (SH.XPD.PUBL.ZS), "Public spending on education, total (% of GDP)" (SE.XPD.TOTL.GD.ZS) and "GDP per capita, PPP (current international $)" (NY.GDP.PCAP.PP.CD) for the same year as the data on social protection spending (or closest available).
</a:t>
          </a:r>
          <a:r>
            <a:rPr lang="en-US" cap="none" sz="800" b="0" i="0" u="none" baseline="0">
              <a:solidFill>
                <a:srgbClr val="000000"/>
              </a:solidFill>
              <a:latin typeface="Arial"/>
              <a:ea typeface="Arial"/>
              <a:cs typeface="Arial"/>
            </a:rPr>
            <a:t>
</a:t>
          </a:r>
          <a:r>
            <a:rPr lang="en-US" cap="none" sz="800" b="1" i="1" u="none" baseline="0">
              <a:solidFill>
                <a:srgbClr val="0000FF"/>
              </a:solidFill>
              <a:latin typeface="Arial"/>
              <a:ea typeface="Arial"/>
              <a:cs typeface="Arial"/>
            </a:rPr>
            <a:t>Should you have data on a country not listed, corrections to the data quoted, or suggestions for additional sources of data, please contact Margaret Grosh (mgrosh@worldbank.org). This is ongoing work and we very much appreciate your help and feedback.</a:t>
          </a:r>
        </a:p>
      </xdr:txBody>
    </xdr:sp>
    <xdr:clientData/>
  </xdr:twoCellAnchor>
  <xdr:twoCellAnchor>
    <xdr:from>
      <xdr:col>0</xdr:col>
      <xdr:colOff>38100</xdr:colOff>
      <xdr:row>21</xdr:row>
      <xdr:rowOff>133350</xdr:rowOff>
    </xdr:from>
    <xdr:to>
      <xdr:col>8</xdr:col>
      <xdr:colOff>476250</xdr:colOff>
      <xdr:row>48</xdr:row>
      <xdr:rowOff>28575</xdr:rowOff>
    </xdr:to>
    <xdr:sp>
      <xdr:nvSpPr>
        <xdr:cNvPr id="2" name="Text Box 2"/>
        <xdr:cNvSpPr txBox="1">
          <a:spLocks noChangeArrowheads="1"/>
        </xdr:cNvSpPr>
      </xdr:nvSpPr>
      <xdr:spPr>
        <a:xfrm>
          <a:off x="38100" y="3619500"/>
          <a:ext cx="5314950" cy="426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Box 1:  DETERMINING SOCIAL PROTECTION EXPENDITURE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A. Procedures followed to identify relevant documents:
</a:t>
          </a:r>
          <a:r>
            <a:rPr lang="en-US" cap="none" sz="700" b="0" i="0" u="none" baseline="0">
              <a:solidFill>
                <a:srgbClr val="000000"/>
              </a:solidFill>
              <a:latin typeface="Arial"/>
              <a:ea typeface="Arial"/>
              <a:cs typeface="Arial"/>
            </a:rPr>
            <a:t>1) Reviewed all documents listed on the World Bank Public Expenditure Reviews (PERs) website as published (http://www1.worldbank.org/publicsector/pe/pers.htm)
</a:t>
          </a:r>
          <a:r>
            <a:rPr lang="en-US" cap="none" sz="700" b="0" i="0" u="none" baseline="0">
              <a:solidFill>
                <a:srgbClr val="000000"/>
              </a:solidFill>
              <a:latin typeface="Arial"/>
              <a:ea typeface="Arial"/>
              <a:cs typeface="Arial"/>
            </a:rPr>
            <a:t>2) Reviewed all documents listed on the World Bank Social Protection/Safety Net website (http://www1.worldbank.org/sp/safetynets)
</a:t>
          </a:r>
          <a:r>
            <a:rPr lang="en-US" cap="none" sz="700" b="0" i="0" u="none" baseline="0">
              <a:solidFill>
                <a:srgbClr val="000000"/>
              </a:solidFill>
              <a:latin typeface="Arial"/>
              <a:ea typeface="Arial"/>
              <a:cs typeface="Arial"/>
            </a:rPr>
            <a:t>3) Reviewed all documents identified on the Social Protection Risk Management category in the World Bank Country Analytic website (http://imagebank.worldbank.org/servlet/main?pagePK=64146063&amp;piPK=64146068&amp;theSitePK=501889&amp;function=BrowseFR&amp;menuPK=64106936&amp;siteName=IMAGEBANK&amp;searchMenuPK=64258127&amp;LeftNavVal=658100&amp;conceptattcode=658100|Labor%20%26%20Social%20Protections~644291&amp;pathtreeid=MAJDOCTY_SEARCH_SECTR&amp;sortattcode=DOCDT+Descclass=)
</a:t>
          </a:r>
          <a:r>
            <a:rPr lang="en-US" cap="none" sz="700" b="0" i="0" u="none" baseline="0">
              <a:solidFill>
                <a:srgbClr val="000000"/>
              </a:solidFill>
              <a:latin typeface="Arial"/>
              <a:ea typeface="Arial"/>
              <a:cs typeface="Arial"/>
            </a:rPr>
            <a:t>4) Went country-by-country for all developing countries in the World Bank Country Analytic website and reviewed all studies that were not captured in 1- 3 above, with particular attention to Poverty Assessments and PERs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B. Within each document searched for the following key words:
</a:t>
          </a:r>
          <a:r>
            <a:rPr lang="en-US" cap="none" sz="700" b="0" i="0" u="none" baseline="0">
              <a:solidFill>
                <a:srgbClr val="000000"/>
              </a:solidFill>
              <a:latin typeface="Arial"/>
              <a:ea typeface="Arial"/>
              <a:cs typeface="Arial"/>
            </a:rPr>
            <a:t>1) Social Protection
</a:t>
          </a:r>
          <a:r>
            <a:rPr lang="en-US" cap="none" sz="700" b="0" i="0" u="none" baseline="0">
              <a:solidFill>
                <a:srgbClr val="000000"/>
              </a:solidFill>
              <a:latin typeface="Arial"/>
              <a:ea typeface="Arial"/>
              <a:cs typeface="Arial"/>
            </a:rPr>
            <a:t>2) Social Insurance
</a:t>
          </a:r>
          <a:r>
            <a:rPr lang="en-US" cap="none" sz="700" b="0" i="0" u="none" baseline="0">
              <a:solidFill>
                <a:srgbClr val="000000"/>
              </a:solidFill>
              <a:latin typeface="Arial"/>
              <a:ea typeface="Arial"/>
              <a:cs typeface="Arial"/>
            </a:rPr>
            <a:t>3) Social Assistance
</a:t>
          </a:r>
          <a:r>
            <a:rPr lang="en-US" cap="none" sz="700" b="0" i="0" u="none" baseline="0">
              <a:solidFill>
                <a:srgbClr val="000000"/>
              </a:solidFill>
              <a:latin typeface="Arial"/>
              <a:ea typeface="Arial"/>
              <a:cs typeface="Arial"/>
            </a:rPr>
            <a:t>4) Welfare
</a:t>
          </a:r>
          <a:r>
            <a:rPr lang="en-US" cap="none" sz="700" b="0" i="0" u="none" baseline="0">
              <a:solidFill>
                <a:srgbClr val="000000"/>
              </a:solidFill>
              <a:latin typeface="Arial"/>
              <a:ea typeface="Arial"/>
              <a:cs typeface="Arial"/>
            </a:rPr>
            <a:t>5) Insurance
</a:t>
          </a:r>
          <a:r>
            <a:rPr lang="en-US" cap="none" sz="700" b="0" i="0" u="none" baseline="0">
              <a:solidFill>
                <a:srgbClr val="000000"/>
              </a:solidFill>
              <a:latin typeface="Arial"/>
              <a:ea typeface="Arial"/>
              <a:cs typeface="Arial"/>
            </a:rPr>
            <a:t>6) Pensions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C. Caveats on Data:
</a:t>
          </a:r>
          <a:r>
            <a:rPr lang="en-US" cap="none" sz="700" b="0" i="0" u="none" baseline="0">
              <a:solidFill>
                <a:srgbClr val="000000"/>
              </a:solidFill>
              <a:latin typeface="Arial"/>
              <a:ea typeface="Arial"/>
              <a:cs typeface="Arial"/>
            </a:rPr>
            <a:t>Non-comparability due to the fact that some data may be outdated but especially to fact that documents differed widely on their definitions of social protection.  This was especially true with respect to:
</a:t>
          </a:r>
          <a:r>
            <a:rPr lang="en-US" cap="none" sz="700" b="0" i="0" u="none" baseline="0">
              <a:solidFill>
                <a:srgbClr val="000000"/>
              </a:solidFill>
              <a:latin typeface="Arial"/>
              <a:ea typeface="Arial"/>
              <a:cs typeface="Arial"/>
            </a:rPr>
            <a:t>1) Non-contributory pensions - sometimes included as part of social insurance and other times as part of social assistance;
</a:t>
          </a:r>
          <a:r>
            <a:rPr lang="en-US" cap="none" sz="700" b="0" i="0" u="none" baseline="0">
              <a:solidFill>
                <a:srgbClr val="000000"/>
              </a:solidFill>
              <a:latin typeface="Arial"/>
              <a:ea typeface="Arial"/>
              <a:cs typeface="Arial"/>
            </a:rPr>
            <a:t>2) Health insurance - most often included as part of health sector spending but sometimes included as part of social protection spending
</a:t>
          </a:r>
          <a:r>
            <a:rPr lang="en-US" cap="none" sz="700" b="0" i="0" u="none" baseline="0">
              <a:solidFill>
                <a:srgbClr val="000000"/>
              </a:solidFill>
              <a:latin typeface="Arial"/>
              <a:ea typeface="Arial"/>
              <a:cs typeface="Arial"/>
            </a:rPr>
            <a:t>3) Active labor market programs –infrequent mention of active labor market programs other than public works
</a:t>
          </a:r>
          <a:r>
            <a:rPr lang="en-US" cap="none" sz="700" b="0" i="0" u="none" baseline="0">
              <a:solidFill>
                <a:srgbClr val="000000"/>
              </a:solidFill>
              <a:latin typeface="Arial"/>
              <a:ea typeface="Arial"/>
              <a:cs typeface="Arial"/>
            </a:rPr>
            <a:t>4) Child welfare, social services and institutional care – variability in whether these were included
</a:t>
          </a:r>
          <a:r>
            <a:rPr lang="en-US" cap="none" sz="700" b="0" i="0" u="none" baseline="0">
              <a:solidFill>
                <a:srgbClr val="000000"/>
              </a:solidFill>
              <a:latin typeface="Arial"/>
              <a:ea typeface="Arial"/>
              <a:cs typeface="Arial"/>
            </a:rPr>
            <a:t>5) external financing - the data on Ethiopia and Malawi does include externally financed spending.
</a:t>
          </a:r>
          <a:r>
            <a:rPr lang="en-US" cap="none" sz="700" b="0" i="0" u="none" baseline="0">
              <a:solidFill>
                <a:srgbClr val="000000"/>
              </a:solidFill>
              <a:latin typeface="Arial"/>
              <a:ea typeface="Arial"/>
              <a:cs typeface="Arial"/>
            </a:rPr>
            <a:t>Which programs are covered in the data quoted for each country is described in more detail in the worksheet titled "DATA".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D. Rules followed for data cleaning
</a:t>
          </a:r>
          <a:r>
            <a:rPr lang="en-US" cap="none" sz="700" b="0" i="0" u="none" baseline="0">
              <a:solidFill>
                <a:srgbClr val="000000"/>
              </a:solidFill>
              <a:latin typeface="Arial"/>
              <a:ea typeface="Arial"/>
              <a:cs typeface="Arial"/>
            </a:rPr>
            <a:t>1) when 'year' was not available, used the year of the report
</a:t>
          </a:r>
          <a:r>
            <a:rPr lang="en-US" cap="none" sz="700" b="0" i="0" u="none" baseline="0">
              <a:solidFill>
                <a:srgbClr val="000000"/>
              </a:solidFill>
              <a:latin typeface="Arial"/>
              <a:ea typeface="Arial"/>
              <a:cs typeface="Arial"/>
            </a:rPr>
            <a:t>2) when 'year' was available only in a 2 year range (ex. 2001/02), used the earlier of both
</a:t>
          </a:r>
          <a:r>
            <a:rPr lang="en-US" cap="none" sz="700" b="0" i="0" u="none" baseline="0">
              <a:solidFill>
                <a:srgbClr val="000000"/>
              </a:solidFill>
              <a:latin typeface="Arial"/>
              <a:ea typeface="Arial"/>
              <a:cs typeface="Arial"/>
            </a:rPr>
            <a:t>3) when other data (Gini, other public expenditures, etc...) were not available for that specific year, used the data which was closest to that year and/or most recent (and added comment to fields in 'DATA' 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24600" cy="8248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magebank.worldbank.org/servlet/WDS_IBank_Servlet?pcont=details&amp;menuPK=64154159&amp;searchMenuPK=64154240&amp;theSitePK=501889&amp;eid=000094946_01052204005063&amp;siteName=IMAGEBANK" TargetMode="External" /><Relationship Id="rId2" Type="http://schemas.openxmlformats.org/officeDocument/2006/relationships/hyperlink" Target="http://www-wds.worldbank.org/servlet/WDSContentServer/WDSP/IB/2002/08/09/000094946_02073004020126/Rendered/PDF/multi0page.pdf" TargetMode="External" /><Relationship Id="rId3" Type="http://schemas.openxmlformats.org/officeDocument/2006/relationships/hyperlink" Target="http://www-wds.worldbank.org/external/default/main?pagePK=64193027&amp;piPK=64187937&amp;theSitePK=523679&amp;menuPK=64187510&amp;searchMenuPK=64187283&amp;theSitePK=523679&amp;entityID=000160016_20031205111436&amp;searchMenuPK=64187283&amp;theSitePK=523679" TargetMode="External" /><Relationship Id="rId4" Type="http://schemas.openxmlformats.org/officeDocument/2006/relationships/hyperlink" Target="http://imagebank.worldbank.org/servlet/WDSContentServer/IW3P/IB/2002/09/24/000094946_02090704040722/Rendered/PDF/multi0page.pdf" TargetMode="External" /><Relationship Id="rId5" Type="http://schemas.openxmlformats.org/officeDocument/2006/relationships/hyperlink" Target="http://imagebank.worldbank.org/servlet/WDSContentServer/IW3P/IB/2003/06/27/000012009_20030627104941/Rendered/PDF/248900V0II.pdf" TargetMode="External" /><Relationship Id="rId6" Type="http://schemas.openxmlformats.org/officeDocument/2006/relationships/hyperlink" Target="http://www-wds.worldbank.org/external/default/main?pagePK=64193027&amp;piPK=64187937&amp;theSitePK=523679&amp;menuPK=64187510&amp;searchMenuPK=64187283&amp;theSitePK=523679&amp;entityID=000090341_20031008132521&amp;searchMenuPK=64187283&amp;theSitePK=523679" TargetMode="External" /><Relationship Id="rId7" Type="http://schemas.openxmlformats.org/officeDocument/2006/relationships/hyperlink" Target="http://www-wds.worldbank.org/external/default/WDSContentServer/WDSP/IB/2006/12/27/000310607_20061227120919/Rendered/PDF/382900BD0Socia10also03341101PUBLIC1.pdf" TargetMode="External" /><Relationship Id="rId8" Type="http://schemas.openxmlformats.org/officeDocument/2006/relationships/hyperlink" Target="http://www-wds.worldbank.org/external/default/main?pagePK=64193027&amp;piPK=64187937&amp;theSitePK=523679&amp;menuPK=64187510&amp;searchMenuPK=64187283&amp;theSitePK=523679&amp;entityID=000012009_20040714101156&amp;searchMenuPK=64187283&amp;theSitePK=523679" TargetMode="External" /><Relationship Id="rId9" Type="http://schemas.openxmlformats.org/officeDocument/2006/relationships/hyperlink" Target="http://www-wds.worldbank.org/external/default/main?pagePK=64193027&amp;piPK=64187937&amp;theSitePK=523679&amp;menuPK=64187510&amp;searchMenuPK=64187283&amp;theSitePK=523679&amp;entityID=000094946_01101804062181&amp;searchMenuPK=64187283&amp;theSitePK=523679" TargetMode="External" /><Relationship Id="rId10" Type="http://schemas.openxmlformats.org/officeDocument/2006/relationships/hyperlink" Target="http://www-wds.worldbank.org/external/default/main?pagePK=64193027&amp;piPK=64187937&amp;theSitePK=523679&amp;menuPK=64187510&amp;searchMenuPK=64187283&amp;theSitePK=523679&amp;entityID=000090341_20030924104425&amp;searchMenuPK=64187283&amp;theSitePK=523679" TargetMode="External" /><Relationship Id="rId11" Type="http://schemas.openxmlformats.org/officeDocument/2006/relationships/hyperlink" Target="http://www-wds.worldbank.org/external/default/main?pagePK=64193027&amp;piPK=64187937&amp;theSitePK=523679&amp;menuPK=64187510&amp;searchMenuPK=64187283&amp;theSitePK=523679&amp;entityID=000094946_00061605362942&amp;searchMenuPK=64187283&amp;theSitePK=523679" TargetMode="External" /><Relationship Id="rId12" Type="http://schemas.openxmlformats.org/officeDocument/2006/relationships/hyperlink" Target="http://www-wds.worldbank.org/external/default/main?pagePK=64193027&amp;piPK=64187937&amp;theSitePK=523679&amp;menuPK=64187510&amp;searchMenuPK=64187283&amp;theSitePK=523679&amp;entityID=000094946_02080604011422&amp;searchMenuPK=64187283&amp;theSitePK=523679" TargetMode="External" /><Relationship Id="rId13" Type="http://schemas.openxmlformats.org/officeDocument/2006/relationships/hyperlink" Target="http://www-wds.worldbank.org/external/default/main?pagePK=64193027&amp;piPK=64187937&amp;theSitePK=523679&amp;menuPK=64187510&amp;searchMenuPK=64187283&amp;theSitePK=523679&amp;entityID=000094946_00121905412341&amp;searchMenuPK=64187283&amp;theSitePK=523679" TargetMode="External" /><Relationship Id="rId14" Type="http://schemas.openxmlformats.org/officeDocument/2006/relationships/hyperlink" Target="http://www-wds.worldbank.org/external/default/main?pagePK=64193027&amp;piPK=64187937&amp;theSitePK=523679&amp;menuPK=64187510&amp;searchMenuPK=64187283&amp;theSitePK=523679&amp;entityID=000094946_02071204032016&amp;searchMenuPK=64187283&amp;theSitePK=523679" TargetMode="External" /><Relationship Id="rId15" Type="http://schemas.openxmlformats.org/officeDocument/2006/relationships/hyperlink" Target="http://www-wds.worldbank.org/external/default/main?pagePK=64193027&amp;piPK=64187937&amp;theSitePK=523679&amp;menuPK=64187510&amp;searchMenuPK=64187283&amp;theSitePK=523679&amp;entityID=000160016_20030520121125&amp;searchMenuPK=64187283&amp;theSitePK=523679" TargetMode="External" /><Relationship Id="rId16" Type="http://schemas.openxmlformats.org/officeDocument/2006/relationships/hyperlink" Target="http://www-wds.worldbank.org/external/default/main?pagePK=64193027&amp;piPK=64187937&amp;theSitePK=523679&amp;menuPK=64187510&amp;searchMenuPK=64187283&amp;theSitePK=523679&amp;entityID=000090341_20030730105420&amp;searchMenuPK=64187283&amp;theSitePK=523679" TargetMode="External" /><Relationship Id="rId17" Type="http://schemas.openxmlformats.org/officeDocument/2006/relationships/hyperlink" Target="http://www-wds.worldbank.org/external/default/main?pagePK=64193027&amp;piPK=64187937&amp;theSitePK=523679&amp;menuPK=64187510&amp;searchMenuPK=64187283&amp;theSitePK=523679&amp;entityID=000094946_02101804424590&amp;searchMenuPK=64187283&amp;theSitePK=523679" TargetMode="External" /><Relationship Id="rId18" Type="http://schemas.openxmlformats.org/officeDocument/2006/relationships/hyperlink" Target="http://www-wds.worldbank.org/external/default/main?pagePK=64193027&amp;piPK=64187937&amp;theSitePK=523679&amp;menuPK=64187510&amp;searchMenuPK=64187283&amp;theSitePK=523679&amp;entityID=000094946_01112004005860&amp;searchMenuPK=64187283&amp;theSitePK=523679" TargetMode="External" /><Relationship Id="rId19" Type="http://schemas.openxmlformats.org/officeDocument/2006/relationships/hyperlink" Target="http://www-wds.worldbank.org/external/default/main?pagePK=64193027&amp;piPK=64187937&amp;theSitePK=523679&amp;menuPK=64187510&amp;searchMenuPK=64187283&amp;theSitePK=523679&amp;entityID=000094946_01100204031686&amp;searchMenuPK=64187283&amp;theSitePK=523679" TargetMode="External" /><Relationship Id="rId20" Type="http://schemas.openxmlformats.org/officeDocument/2006/relationships/hyperlink" Target="http://www-wds.worldbank.org/external/default/main?pagePK=64193027&amp;piPK=64187937&amp;theSitePK=523679&amp;menuPK=64187510&amp;searchMenuPK=64187283&amp;theSitePK=523679&amp;entityID=000094946_02122104005440&amp;searchMenuPK=64187283&amp;theSitePK=523679" TargetMode="External" /><Relationship Id="rId21" Type="http://schemas.openxmlformats.org/officeDocument/2006/relationships/hyperlink" Target="http://www-wds.worldbank.org/external/default/main?pagePK=64193027&amp;piPK=64187937&amp;theSitePK=523679&amp;menuPK=64187510&amp;searchMenuPK=64187283&amp;theSitePK=523679&amp;entityID=000094946_02041304004840&amp;searchMenuPK=64187283&amp;theSitePK=523679" TargetMode="External" /><Relationship Id="rId22" Type="http://schemas.openxmlformats.org/officeDocument/2006/relationships/hyperlink" Target="http://www-wds.worldbank.org/external/default/main?pagePK=64193027&amp;piPK=64187937&amp;theSitePK=523679&amp;menuPK=64187510&amp;searchMenuPK=64187283&amp;theSitePK=523679&amp;entityID=000160016_20031029100353&amp;searchMenuPK=64187283&amp;theSitePK=523679" TargetMode="External" /><Relationship Id="rId23" Type="http://schemas.openxmlformats.org/officeDocument/2006/relationships/hyperlink" Target="http://www-wds.worldbank.org/external/default/main?pagePK=64193027&amp;piPK=64187937&amp;theSitePK=523679&amp;menuPK=64187510&amp;searchMenuPK=64187283&amp;theSitePK=523679&amp;entityID=000094946_02122704010489&amp;searchMenuPK=64187283&amp;theSitePK=523679" TargetMode="External" /><Relationship Id="rId24" Type="http://schemas.openxmlformats.org/officeDocument/2006/relationships/hyperlink" Target="http://www-wds.worldbank.org/external/default/main?pagePK=64193027&amp;piPK=64187937&amp;theSitePK=523679&amp;menuPK=64187510&amp;searchMenuPK=64187283&amp;theSitePK=523679&amp;entityID=000094946_0109210412552&amp;searchMenuPK=64187283&amp;theSitePK=523679" TargetMode="External" /><Relationship Id="rId25" Type="http://schemas.openxmlformats.org/officeDocument/2006/relationships/hyperlink" Target="http://www-wds.worldbank.org/external/default/main?pagePK=64193027&amp;piPK=64187937&amp;theSitePK=523679&amp;menuPK=64187510&amp;searchMenuPK=64187283&amp;theSitePK=523679&amp;entityID=000160016_20030617131238&amp;searchMenuPK=64187283&amp;theSitePK=523679" TargetMode="External" /><Relationship Id="rId26" Type="http://schemas.openxmlformats.org/officeDocument/2006/relationships/hyperlink" Target="http://www-wds.worldbank.org/external/default/main?pagePK=64193027&amp;piPK=64187937&amp;theSitePK=523679&amp;menuPK=64187510&amp;searchMenuPK=64187283&amp;theSitePK=523679&amp;entityID=000012009_20050214105516&amp;searchMenuPK=64187283&amp;theSitePK=523679" TargetMode="External" /><Relationship Id="rId27" Type="http://schemas.openxmlformats.org/officeDocument/2006/relationships/hyperlink" Target="http://www-wds.worldbank.org/external/default/main?pagePK=64193027&amp;piPK=64187937&amp;theSitePK=523679&amp;menuPK=64187510&amp;searchMenuPK=64187283&amp;theSitePK=523679&amp;entityID=000094946_01072104010092&amp;searchMenuPK=64187283&amp;theSitePK=523679" TargetMode="External" /><Relationship Id="rId28" Type="http://schemas.openxmlformats.org/officeDocument/2006/relationships/hyperlink" Target="http://www-wds.worldbank.org/servlet/WDSContentServer/WDSP/IB/2002/08/09/000094946_02073004020126/Rendered/PDF/multi0page.pdf" TargetMode="External" /><Relationship Id="rId29" Type="http://schemas.openxmlformats.org/officeDocument/2006/relationships/hyperlink" Target="http://www-wds.worldbank.org/external/default/WDSContentServer/IW3P/IB/2006/05/01/000160016_20060501163658/Rendered/PDF/348180MV0Socia1white0cover01PUBLIC1.pdf" TargetMode="External" /><Relationship Id="rId30" Type="http://schemas.openxmlformats.org/officeDocument/2006/relationships/hyperlink" Target="http://www-wds.worldbank.org/external/default/WDSContentServer/WDSP/IB/2007/04/13/000020953_20070413085024/Rendered/PDF/393030PK.pdf" TargetMode="External" /><Relationship Id="rId31" Type="http://schemas.openxmlformats.org/officeDocument/2006/relationships/hyperlink" Target="http://www-wds.worldbank.org/external/default/WDSContentServer/WDSP/IB/2007/03/30/000020439_20070330092202/Rendered/PDF/381070LK.pdf" TargetMode="External" /><Relationship Id="rId32" Type="http://schemas.openxmlformats.org/officeDocument/2006/relationships/hyperlink" Target="http://www-wds.worldbank.org/servlet/WDSContentServer/WDSP/IB/2002/08/09/000094946_02073004020126/Rendered/PDF/multi0page.pdf" TargetMode="External" /><Relationship Id="rId33" Type="http://schemas.openxmlformats.org/officeDocument/2006/relationships/hyperlink" Target="http://www-wds.worldbank.org/servlet/WDSContentServer/WDSP/IB/2002/08/09/000094946_02073004020126/Rendered/PDF/multi0page.pdf" TargetMode="External" /><Relationship Id="rId34" Type="http://schemas.openxmlformats.org/officeDocument/2006/relationships/hyperlink" Target="http://www-wds.worldbank.org/external/default/WDSContentServer/WDSP/IB/2005/10/12/000160016_20051012165106/Rendered/PDF/338020VOL.02.pdf" TargetMode="External" /><Relationship Id="rId35" Type="http://schemas.openxmlformats.org/officeDocument/2006/relationships/hyperlink" Target="http://www-wds.worldbank.org/servlet/WDSContentServer/WDSP/IB/2002/08/09/000094946_02073004020126/Rendered/PDF/multi0page.pdf" TargetMode="External" /><Relationship Id="rId36" Type="http://schemas.openxmlformats.org/officeDocument/2006/relationships/hyperlink" Target="http://www-wds.worldbank.org/external/default/main?pagePK=64193027&amp;piPK=64187937&amp;theSitePK=523679&amp;menuPK=64187510&amp;searchMenuPK=64187283&amp;theSitePK=523679&amp;entityID=000012009_20060428084124&amp;searchMenuPK=64187283&amp;theSitePK=523679" TargetMode="External" /><Relationship Id="rId37" Type="http://schemas.openxmlformats.org/officeDocument/2006/relationships/hyperlink" Target="http://www-wds.worldbank.org/servlet/WDSContentServer/WDSP/IB/2002/08/09/000094946_02073004020126/Rendered/PDF/multi0page.pdf" TargetMode="External" /><Relationship Id="rId38" Type="http://schemas.openxmlformats.org/officeDocument/2006/relationships/hyperlink" Target="http://www-wds.worldbank.org/external/default/main?pagePK=64193027&amp;piPK=64187937&amp;theSitePK=523679&amp;menuPK=64187510&amp;searchMenuPK=64187282&amp;theSitePK=523679&amp;entityID=000094946_0104140845140&amp;searchMenuPK=64187282&amp;theSitePK=523679" TargetMode="External" /><Relationship Id="rId39" Type="http://schemas.openxmlformats.org/officeDocument/2006/relationships/hyperlink" Target="http://www-wds.worldbank.org/external/default/main?pagePK=64193027&amp;piPK=64187937&amp;theSitePK=523679&amp;menuPK=64187510&amp;searchMenuPK=64187283&amp;theSitePK=523679&amp;entityID=000160016_20050628115416&amp;searchMenuPK=64187283&amp;theSitePK=523679" TargetMode="External" /><Relationship Id="rId40" Type="http://schemas.openxmlformats.org/officeDocument/2006/relationships/hyperlink" Target="http://www-wds.worldbank.org/external/default/main?pagePK=64193027&amp;piPK=64187937&amp;theSitePK=523679&amp;menuPK=64187510&amp;searchMenuPK=64187283&amp;theSitePK=523679&amp;entityID=000160016_20060616104140&amp;searchMenuPK=64187283&amp;theSitePK=523679" TargetMode="External" /><Relationship Id="rId41" Type="http://schemas.openxmlformats.org/officeDocument/2006/relationships/hyperlink" Target="http://siteresources.worldbank.org/INTPERUINSPANISH/Resources/ProteccionSocialPeru.pdf" TargetMode="External" /><Relationship Id="rId42" Type="http://schemas.openxmlformats.org/officeDocument/2006/relationships/hyperlink" Target="http://www-wds.worldbank.org/external/default/WDSContentServer/IW3P/IB/2004/10/20/000012009_20041020134302/Rendered/PDF/273520PA.pdf" TargetMode="External" /><Relationship Id="rId43" Type="http://schemas.openxmlformats.org/officeDocument/2006/relationships/hyperlink" Target="http://www-wds.worldbank.org/external/default/main?pagePK=64193027&amp;piPK=64187937&amp;theSitePK=523679&amp;menuPK=64187510&amp;searchMenuPK=64187283&amp;theSitePK=523679&amp;entityID=000090341_20040218153551&amp;searchMenuPK=64187283&amp;theSitePK=523679" TargetMode="External" /><Relationship Id="rId44" Type="http://schemas.openxmlformats.org/officeDocument/2006/relationships/hyperlink" Target="http://www-wds.worldbank.org/external/default/main?pagePK=64193027&amp;piPK=64187937&amp;theSitePK=523679&amp;menuPK=64187510&amp;searchMenuPK=64187283&amp;theSitePK=523679&amp;entityID=000090341_20060823110842&amp;searchMenuPK=64187283&amp;theSitePK=523679" TargetMode="External" /><Relationship Id="rId45" Type="http://schemas.openxmlformats.org/officeDocument/2006/relationships/hyperlink" Target="http://www-wds.worldbank.org/external/default/main?pagePK=64193027&amp;piPK=64187937&amp;theSitePK=523679&amp;menuPK=64187510&amp;searchMenuPK=64187283&amp;theSitePK=523679&amp;entityID=000090341_20040218153551&amp;searchMenuPK=64187283&amp;theSitePK=523679" TargetMode="External" /><Relationship Id="rId46" Type="http://schemas.openxmlformats.org/officeDocument/2006/relationships/hyperlink" Target="http://www-wds.worldbank.org/external/default/main?pagePK=64193027&amp;piPK=64187937&amp;theSitePK=523679&amp;menuPK=64187510&amp;searchMenuPK=64187283&amp;theSitePK=523679&amp;entityID=000094946_02100204010860&amp;searchMenuPK=64187283&amp;theSitePK=523679" TargetMode="External" /><Relationship Id="rId47" Type="http://schemas.openxmlformats.org/officeDocument/2006/relationships/hyperlink" Target="http://www-wds.worldbank.org/external/default/main?pagePK=64193027&amp;piPK=64187937&amp;theSitePK=523679&amp;menuPK=64187510&amp;searchMenuPK=64187283&amp;theSitePK=523679&amp;entityID=000090341_20060823110842&amp;searchMenuPK=64187283&amp;theSitePK=523679" TargetMode="External" /><Relationship Id="rId48" Type="http://schemas.openxmlformats.org/officeDocument/2006/relationships/hyperlink" Target="http://www-wds.worldbank.org/external/default/main?pagePK=64193027&amp;piPK=64187937&amp;theSitePK=523679&amp;menuPK=64187510&amp;searchMenuPK=64187283&amp;theSitePK=523679&amp;entityID=000160016_20060616102435&amp;searchMenuPK=64187283&amp;theSitePK=523679" TargetMode="External" /><Relationship Id="rId49" Type="http://schemas.openxmlformats.org/officeDocument/2006/relationships/hyperlink" Target="http://www-wds.worldbank.org/external/default/main?pagePK=64193027&amp;piPK=64187937&amp;theSitePK=523679&amp;menuPK=64187510&amp;searchMenuPK=64187283&amp;theSitePK=523679&amp;entityID=000090341_20040218153551&amp;searchMenuPK=64187283&amp;theSitePK=523679" TargetMode="External" /><Relationship Id="rId50" Type="http://schemas.openxmlformats.org/officeDocument/2006/relationships/hyperlink" Target="http://www-wds.worldbank.org/external/default/main?pagePK=64193027&amp;piPK=64187937&amp;theSitePK=523679&amp;menuPK=64187510&amp;searchMenuPK=64187283&amp;theSitePK=523679&amp;entityID=000012009_20041230100614&amp;searchMenuPK=64187283&amp;theSitePK=523679" TargetMode="External" /><Relationship Id="rId51" Type="http://schemas.openxmlformats.org/officeDocument/2006/relationships/hyperlink" Target="http://www-wds.worldbank.org/external/default/main?pagePK=64193027&amp;piPK=64187937&amp;theSitePK=523679&amp;menuPK=64187510&amp;searchMenuPK=64187283&amp;theSitePK=523679&amp;entityID=000090341_20060823110842&amp;searchMenuPK=64187283&amp;theSitePK=523679" TargetMode="External" /><Relationship Id="rId52" Type="http://schemas.openxmlformats.org/officeDocument/2006/relationships/hyperlink" Target="http://www-wds.worldbank.org/external/default/main?pagePK=64193027&amp;piPK=64187937&amp;theSitePK=523679&amp;menuPK=64187510&amp;searchMenuPK=64187283&amp;theSitePK=523679&amp;entityID=000160016_20050729153758&amp;searchMenuPK=64187283&amp;theSitePK=523680" TargetMode="External" /><Relationship Id="rId53" Type="http://schemas.openxmlformats.org/officeDocument/2006/relationships/hyperlink" Target="http://www-wds.worldbank.org/external/default/main?pagePK=64193027&amp;piPK=64187937&amp;theSitePK=523679&amp;menuPK=64187510&amp;searchMenuPK=64187283&amp;theSitePK=523679&amp;entityID=000090341_20060823110842&amp;searchMenuPK=64187283&amp;theSitePK=523679" TargetMode="External" /><Relationship Id="rId54" Type="http://schemas.openxmlformats.org/officeDocument/2006/relationships/hyperlink" Target="http://www-wds.worldbank.org/external/default/main?pagePK=64193027&amp;piPK=64187937&amp;theSitePK=523679&amp;menuPK=64187510&amp;searchMenuPK=64187283&amp;theSitePK=523679&amp;entityID=000090341_20060823110842&amp;searchMenuPK=64187283&amp;theSitePK=523679" TargetMode="External" /><Relationship Id="rId55" Type="http://schemas.openxmlformats.org/officeDocument/2006/relationships/hyperlink" Target="http://www-wds.worldbank.org/external/default/main?pagePK=64193027&amp;piPK=64187937&amp;theSitePK=523679&amp;menuPK=64187510&amp;searchMenuPK=64187283&amp;theSitePK=523679&amp;entityID=000090341_20060823110842&amp;searchMenuPK=64187283&amp;theSitePK=523679" TargetMode="External" /><Relationship Id="rId56" Type="http://schemas.openxmlformats.org/officeDocument/2006/relationships/hyperlink" Target="http://www-wds.worldbank.org/external/default/main?pagePK=64193027&amp;piPK=64187937&amp;theSitePK=523679&amp;menuPK=64187510&amp;searchMenuPK=64187283&amp;theSitePK=523679&amp;entityID=000090341_20060823110842&amp;searchMenuPK=64187283&amp;theSitePK=523679" TargetMode="External" /><Relationship Id="rId57" Type="http://schemas.openxmlformats.org/officeDocument/2006/relationships/hyperlink" Target="http://www-wds.worldbank.org/external/default/main?pagePK=64193027&amp;piPK=64187937&amp;theSitePK=523679&amp;menuPK=64187510&amp;searchMenuPK=64187283&amp;theSitePK=523679&amp;entityID=000020953_20070119103203&amp;searchMenuPK=64187283&amp;theSitePK=523679" TargetMode="External" /><Relationship Id="rId58" Type="http://schemas.openxmlformats.org/officeDocument/2006/relationships/hyperlink" Target="http://www-wds.worldbank.org/external/default/main?pagePK=64193027&amp;piPK=64187937&amp;theSitePK=523679&amp;menuPK=64187510&amp;searchMenuPK=64187283&amp;theSitePK=523679&amp;entityID=000012009_20060711130435&amp;searchMenuPK=64187283&amp;theSitePK=523679" TargetMode="External" /><Relationship Id="rId59" Type="http://schemas.openxmlformats.org/officeDocument/2006/relationships/hyperlink" Target="http://www-wds.worldbank.org/external/default/main?pagePK=64193027&amp;piPK=64187937&amp;theSitePK=523679&amp;menuPK=64187510&amp;searchMenuPK=64187283&amp;theSitePK=523679&amp;entityID=000094946_03040204013929&amp;searchMenuPK=64187283&amp;theSitePK=523679" TargetMode="External" /><Relationship Id="rId60" Type="http://schemas.openxmlformats.org/officeDocument/2006/relationships/hyperlink" Target="http://www-wds.worldbank.org/external/default/main?pagePK=64193027&amp;piPK=64187937&amp;theSitePK=523679&amp;menuPK=64187510&amp;searchMenuPK=64187283&amp;theSitePK=523679&amp;entityID=000090341_20070315104526&amp;searchMenuPK=64187283&amp;theSitePK=523679" TargetMode="External" /><Relationship Id="rId61" Type="http://schemas.openxmlformats.org/officeDocument/2006/relationships/hyperlink" Target="http://www-wds.worldbank.org/external/default/main?pagePK=64193027&amp;piPK=64187937&amp;theSitePK=523679&amp;menuPK=64187510&amp;searchMenuPK=64187283&amp;theSitePK=523679&amp;entityID=000012009_20040203102947&amp;searchMenuPK=64187283&amp;theSitePK=523679" TargetMode="External" /><Relationship Id="rId62" Type="http://schemas.openxmlformats.org/officeDocument/2006/relationships/hyperlink" Target="http://www-wds.worldbank.org/external/default/main?pagePK=64193027&amp;piPK=64187937&amp;theSitePK=523679&amp;menuPK=64187510&amp;searchMenuPK=64187283&amp;theSitePK=523679&amp;entityID=000012009_20050713091826&amp;searchMenuPK=64187283&amp;theSitePK=523679" TargetMode="External" /><Relationship Id="rId63" Type="http://schemas.openxmlformats.org/officeDocument/2006/relationships/hyperlink" Target="http://www-wds.worldbank.org/external/default/main?menuPK=64187510&amp;pagePK=64193027&amp;piPK=64187937&amp;theSitePK=523679&amp;menuPK=64154159&amp;searchMenuPK=64258544&amp;theSitePK=523679&amp;entityID=000012009_20041124092314&amp;searchMenuPK=64258544&amp;theSitePK=523679" TargetMode="External" /><Relationship Id="rId64" Type="http://schemas.openxmlformats.org/officeDocument/2006/relationships/hyperlink" Target="http://www-wds.worldbank.org/external/default/WDSContentServer/WDSP/IB/2007/03/20/000020953_20070320142753/Rendered/PDF/364530v2.pdf" TargetMode="External" /><Relationship Id="rId65" Type="http://schemas.openxmlformats.org/officeDocument/2006/relationships/hyperlink" Target="http://www.iadb.org/sds/doc/APECreport.pdf" TargetMode="External" /><Relationship Id="rId66" Type="http://schemas.openxmlformats.org/officeDocument/2006/relationships/hyperlink" Target="http://www-wds.worldbank.org/external/default/main?pagePK=64193027&amp;piPK=64187937&amp;theSitePK=523679&amp;menuPK=64187510&amp;searchMenuPK=64187283&amp;theSitePK=523679&amp;entityID=000020953_20070827113556&amp;searchMenuPK=64187283&amp;theSitePK=523679" TargetMode="External" /><Relationship Id="rId67" Type="http://schemas.openxmlformats.org/officeDocument/2006/relationships/hyperlink" Target="http://www-wds.worldbank.org/external/default/main?pagePK=64193027&amp;piPK=64187937&amp;theSitePK=523679&amp;menuPK=64187510&amp;searchMenuPK=64187283&amp;theSitePK=523679&amp;entityID=000090341_20060428082015&amp;searchMenuPK=64187283&amp;theSitePK=523679" TargetMode="External" /><Relationship Id="rId68" Type="http://schemas.openxmlformats.org/officeDocument/2006/relationships/hyperlink" Target="http://www-wds.worldbank.org/external/default/main?menuPK=64187510&amp;pagePK=64193027&amp;piPK=64187937&amp;theSitePK=523679&amp;menuPK=64154159&amp;searchMenuPK=64258544&amp;theSitePK=523679&amp;entityID=000090341_20040722093405&amp;searchMenuPK=64258544&amp;theSitePK=523679" TargetMode="External" /><Relationship Id="rId69" Type="http://schemas.openxmlformats.org/officeDocument/2006/relationships/hyperlink" Target="http://www-wds.worldbank.org/external/default/main?pagePK=64193027&amp;piPK=64187937&amp;theSitePK=523679&amp;menuPK=64187510&amp;searchMenuPK=64187283&amp;theSitePK=523679&amp;entityID=000012009_20050629092219&amp;searchMenuPK=64187283&amp;theSitePK=523679" TargetMode="External" /><Relationship Id="rId70" Type="http://schemas.openxmlformats.org/officeDocument/2006/relationships/hyperlink" Target="http://www-wds.worldbank.org/external/default/main?pagePK=64193027&amp;piPK=64187937&amp;theSitePK=523679&amp;menuPK=64187510&amp;searchMenuPK=64187283&amp;theSitePK=523679&amp;entityID=000012009_20050421093233&amp;searchMenuPK=64187283&amp;theSitePK=523679" TargetMode="External" /><Relationship Id="rId71" Type="http://schemas.openxmlformats.org/officeDocument/2006/relationships/hyperlink" Target="http://www-wds.worldbank.org/external/default/main?pagePK=64193027&amp;piPK=64187937&amp;theSitePK=523679&amp;menuPK=64187510&amp;searchMenuPK=64187283&amp;theSitePK=523679&amp;entityID=000012009_20050111085004&amp;searchMenuPK=64187283&amp;theSitePK=523679" TargetMode="External" /><Relationship Id="rId72" Type="http://schemas.openxmlformats.org/officeDocument/2006/relationships/hyperlink" Target="http://www-wds.worldbank.org/external/default/main?pagePK=64193027&amp;piPK=64187937&amp;theSitePK=523679&amp;menuPK=64187510&amp;searchMenuPK=64187283&amp;theSitePK=523679&amp;entityID=000094946_00080105305244&amp;searchMenuPK=64187283&amp;theSitePK=523679" TargetMode="External" /><Relationship Id="rId73" Type="http://schemas.openxmlformats.org/officeDocument/2006/relationships/comments" Target="../comments4.xml" /><Relationship Id="rId74" Type="http://schemas.openxmlformats.org/officeDocument/2006/relationships/vmlDrawing" Target="../drawings/vmlDrawing2.vml" /><Relationship Id="rId7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3"/>
  <sheetViews>
    <sheetView zoomScaleSheetLayoutView="100" zoomScalePageLayoutView="0" workbookViewId="0" topLeftCell="A1">
      <selection activeCell="F63" sqref="F63"/>
    </sheetView>
  </sheetViews>
  <sheetFormatPr defaultColWidth="9.140625" defaultRowHeight="12.75"/>
  <cols>
    <col min="1" max="16384" width="9.140625" style="21" customWidth="1"/>
  </cols>
  <sheetData>
    <row r="1" spans="1:9" ht="15">
      <c r="A1" s="18" t="s">
        <v>368</v>
      </c>
      <c r="B1" s="19"/>
      <c r="C1" s="19"/>
      <c r="D1" s="19"/>
      <c r="E1" s="19"/>
      <c r="F1" s="19"/>
      <c r="G1" s="19"/>
      <c r="H1" s="19"/>
      <c r="I1" s="19"/>
    </row>
    <row r="2" spans="1:9" ht="15">
      <c r="A2" s="18" t="s">
        <v>369</v>
      </c>
      <c r="B2" s="19"/>
      <c r="C2" s="19"/>
      <c r="D2" s="19"/>
      <c r="E2" s="19"/>
      <c r="F2" s="19"/>
      <c r="G2" s="19"/>
      <c r="H2" s="19"/>
      <c r="I2" s="19"/>
    </row>
    <row r="3" ht="15">
      <c r="A3" s="20"/>
    </row>
  </sheetData>
  <sheetProtection/>
  <printOptions horizontalCentered="1" verticalCentered="1"/>
  <pageMargins left="0.787401575" right="0.787401575" top="0.984251969" bottom="0.984251969" header="0.5" footer="0.5"/>
  <pageSetup fitToHeight="1" fitToWidth="1" horizontalDpi="600" verticalDpi="600" orientation="portrait" scale="95" r:id="rId2"/>
  <headerFooter alignWithMargins="0">
    <oddHeader>&amp;L&amp;D&amp;RDRAFT - NOT FOR QUOTATION</oddHeader>
    <oddFooter>&amp;CPlease provide comments and revised or additional data and reports to Christine Weigand (cweigand@worldbank.org). Thank you.</oddFooter>
  </headerFooter>
  <drawing r:id="rId1"/>
</worksheet>
</file>

<file path=xl/worksheets/sheet10.xml><?xml version="1.0" encoding="utf-8"?>
<worksheet xmlns="http://schemas.openxmlformats.org/spreadsheetml/2006/main" xmlns:r="http://schemas.openxmlformats.org/officeDocument/2006/relationships">
  <sheetPr>
    <tabColor indexed="41"/>
  </sheetPr>
  <dimension ref="A1:S113"/>
  <sheetViews>
    <sheetView zoomScale="75" zoomScaleNormal="75" zoomScalePageLayoutView="0" workbookViewId="0" topLeftCell="A1">
      <pane xSplit="2" ySplit="1" topLeftCell="C2" activePane="bottomRight" state="frozen"/>
      <selection pane="topLeft" activeCell="E2" sqref="E2"/>
      <selection pane="topRight" activeCell="E2" sqref="E2"/>
      <selection pane="bottomLeft" activeCell="E2" sqref="E2"/>
      <selection pane="bottomRight" activeCell="E2" sqref="E2"/>
    </sheetView>
  </sheetViews>
  <sheetFormatPr defaultColWidth="9.140625" defaultRowHeight="12.75"/>
  <cols>
    <col min="1" max="1" width="9.140625" style="44" customWidth="1"/>
    <col min="2" max="2" width="19.8515625" style="44" customWidth="1"/>
    <col min="3" max="6" width="13.7109375" style="84" bestFit="1" customWidth="1"/>
    <col min="7" max="9" width="9.140625" style="84" customWidth="1"/>
    <col min="10" max="16384" width="9.140625" style="44" customWidth="1"/>
  </cols>
  <sheetData>
    <row r="1" spans="2:19" ht="66">
      <c r="B1" s="104" t="s">
        <v>258</v>
      </c>
      <c r="C1" s="104" t="s">
        <v>183</v>
      </c>
      <c r="D1" s="104" t="s">
        <v>184</v>
      </c>
      <c r="E1" s="104" t="s">
        <v>185</v>
      </c>
      <c r="F1" s="104" t="s">
        <v>545</v>
      </c>
      <c r="G1" s="104" t="s">
        <v>186</v>
      </c>
      <c r="H1" s="104" t="s">
        <v>187</v>
      </c>
      <c r="I1" s="104" t="s">
        <v>188</v>
      </c>
      <c r="J1" s="104" t="s">
        <v>174</v>
      </c>
      <c r="K1" s="104" t="s">
        <v>189</v>
      </c>
      <c r="L1" s="104" t="s">
        <v>190</v>
      </c>
      <c r="M1" s="104" t="s">
        <v>191</v>
      </c>
      <c r="N1" s="104" t="s">
        <v>70</v>
      </c>
      <c r="O1" s="104" t="s">
        <v>171</v>
      </c>
      <c r="P1" s="104" t="s">
        <v>172</v>
      </c>
      <c r="Q1" s="104" t="s">
        <v>173</v>
      </c>
      <c r="R1" s="104" t="s">
        <v>69</v>
      </c>
      <c r="S1" s="104" t="s">
        <v>378</v>
      </c>
    </row>
    <row r="2" spans="1:19" ht="12.75">
      <c r="A2" s="44" t="s">
        <v>564</v>
      </c>
      <c r="B2" s="24" t="s">
        <v>133</v>
      </c>
      <c r="C2" s="102">
        <v>0.9</v>
      </c>
      <c r="D2" s="102" t="s">
        <v>193</v>
      </c>
      <c r="E2" s="102" t="s">
        <v>193</v>
      </c>
      <c r="F2" s="102" t="s">
        <v>193</v>
      </c>
      <c r="G2" s="103">
        <v>2003</v>
      </c>
      <c r="H2" s="106">
        <v>3.12592636297537</v>
      </c>
      <c r="I2" s="106">
        <v>2.2034</v>
      </c>
      <c r="J2" s="106" t="s">
        <v>193</v>
      </c>
      <c r="K2" s="106">
        <v>13.2936792373657</v>
      </c>
      <c r="L2" s="106">
        <v>1073.71142895368</v>
      </c>
      <c r="M2" s="106">
        <v>36.47779</v>
      </c>
      <c r="N2" s="106">
        <v>0.09807664944160455</v>
      </c>
      <c r="O2" s="106">
        <v>0.787216</v>
      </c>
      <c r="P2" s="106">
        <v>0.7905251</v>
      </c>
      <c r="Q2" s="106">
        <v>0.5543994</v>
      </c>
      <c r="R2" s="44">
        <v>6</v>
      </c>
      <c r="S2" s="44" t="s">
        <v>193</v>
      </c>
    </row>
    <row r="3" spans="1:19" ht="12.75">
      <c r="A3" s="44" t="s">
        <v>564</v>
      </c>
      <c r="B3" s="24" t="s">
        <v>373</v>
      </c>
      <c r="C3" s="102" t="s">
        <v>193</v>
      </c>
      <c r="D3" s="102" t="s">
        <v>193</v>
      </c>
      <c r="E3" s="102">
        <v>2.7</v>
      </c>
      <c r="F3" s="102" t="s">
        <v>193</v>
      </c>
      <c r="G3" s="103">
        <v>1996</v>
      </c>
      <c r="H3" s="106">
        <v>10.658871796071</v>
      </c>
      <c r="I3" s="106">
        <v>2.1</v>
      </c>
      <c r="J3" s="106">
        <v>8.02932636297537</v>
      </c>
      <c r="K3" s="106">
        <v>27.3186149597168</v>
      </c>
      <c r="L3" s="106">
        <v>5894.99989617425</v>
      </c>
      <c r="M3" s="106" t="s">
        <v>193</v>
      </c>
      <c r="N3" s="106">
        <v>0.8648933257234189</v>
      </c>
      <c r="O3" s="106">
        <v>0.41024800000000006</v>
      </c>
      <c r="P3" s="106">
        <v>0.41097269999999997</v>
      </c>
      <c r="Q3" s="106">
        <v>0.5986193</v>
      </c>
      <c r="R3" s="44">
        <v>8</v>
      </c>
      <c r="S3" s="44" t="s">
        <v>193</v>
      </c>
    </row>
    <row r="4" spans="1:19" ht="12.75">
      <c r="A4" s="44" t="s">
        <v>564</v>
      </c>
      <c r="B4" s="24" t="s">
        <v>136</v>
      </c>
      <c r="C4" s="102">
        <v>0.1</v>
      </c>
      <c r="D4" s="102" t="s">
        <v>193</v>
      </c>
      <c r="E4" s="102" t="s">
        <v>193</v>
      </c>
      <c r="F4" s="102" t="s">
        <v>193</v>
      </c>
      <c r="G4" s="103">
        <v>2002</v>
      </c>
      <c r="H4" s="106">
        <v>4.68246750501788</v>
      </c>
      <c r="I4" s="106">
        <v>2.3154</v>
      </c>
      <c r="J4" s="106" t="s">
        <v>193</v>
      </c>
      <c r="K4" s="106">
        <v>13.1407051086426</v>
      </c>
      <c r="L4" s="106">
        <v>1067.13882121474</v>
      </c>
      <c r="M4" s="106">
        <v>39.51</v>
      </c>
      <c r="N4" s="106">
        <v>-0.4026407083310962</v>
      </c>
      <c r="O4" s="106">
        <v>0.737738</v>
      </c>
      <c r="P4" s="106">
        <v>0.7227772</v>
      </c>
      <c r="Q4" s="106">
        <v>0.5797988</v>
      </c>
      <c r="R4" s="44">
        <v>2</v>
      </c>
      <c r="S4" s="44" t="s">
        <v>193</v>
      </c>
    </row>
    <row r="5" spans="1:19" ht="12.75">
      <c r="A5" s="44" t="s">
        <v>564</v>
      </c>
      <c r="B5" s="24" t="s">
        <v>274</v>
      </c>
      <c r="C5" s="102" t="s">
        <v>193</v>
      </c>
      <c r="D5" s="102">
        <v>4.5</v>
      </c>
      <c r="E5" s="102" t="s">
        <v>193</v>
      </c>
      <c r="F5" s="102" t="s">
        <v>193</v>
      </c>
      <c r="G5" s="103">
        <v>2001</v>
      </c>
      <c r="H5" s="106">
        <v>3.88757756344152</v>
      </c>
      <c r="I5" s="106">
        <v>2.8985</v>
      </c>
      <c r="J5" s="106" t="s">
        <v>193</v>
      </c>
      <c r="K5" s="106">
        <v>15.1685266494751</v>
      </c>
      <c r="L5" s="106">
        <v>878.640604675278</v>
      </c>
      <c r="M5" s="106">
        <v>29.9709</v>
      </c>
      <c r="N5" s="106">
        <v>-1.2540774989317416</v>
      </c>
      <c r="O5" s="106">
        <v>0.723472</v>
      </c>
      <c r="P5" s="106">
        <v>0.8073233</v>
      </c>
      <c r="Q5" s="106">
        <v>0.624868</v>
      </c>
      <c r="R5" s="44">
        <v>3</v>
      </c>
      <c r="S5" s="44" t="s">
        <v>193</v>
      </c>
    </row>
    <row r="6" spans="1:19" ht="12.75">
      <c r="A6" s="44" t="s">
        <v>564</v>
      </c>
      <c r="B6" s="24" t="s">
        <v>194</v>
      </c>
      <c r="C6" s="102">
        <v>1.2</v>
      </c>
      <c r="D6" s="102">
        <v>0.9</v>
      </c>
      <c r="E6" s="102">
        <v>2.1</v>
      </c>
      <c r="F6" s="102">
        <v>42.857142857142854</v>
      </c>
      <c r="G6" s="103">
        <v>2002</v>
      </c>
      <c r="H6" s="106">
        <v>2.85048804766478</v>
      </c>
      <c r="I6" s="106">
        <v>2.728</v>
      </c>
      <c r="J6" s="106">
        <v>7.42932636297537</v>
      </c>
      <c r="K6" s="106">
        <v>8.13525772094727</v>
      </c>
      <c r="L6" s="106">
        <v>768.760678879054</v>
      </c>
      <c r="M6" s="106">
        <v>47.45</v>
      </c>
      <c r="N6" s="106">
        <v>-0.2628670398786786</v>
      </c>
      <c r="O6" s="106">
        <v>0.8791000000000001</v>
      </c>
      <c r="P6" s="106">
        <v>0.020432000000000006</v>
      </c>
      <c r="Q6" s="106">
        <v>0.5190879</v>
      </c>
      <c r="R6" s="44">
        <v>7</v>
      </c>
      <c r="S6" s="44" t="s">
        <v>193</v>
      </c>
    </row>
    <row r="7" spans="1:19" ht="12.75">
      <c r="A7" s="44" t="s">
        <v>564</v>
      </c>
      <c r="B7" s="89" t="s">
        <v>192</v>
      </c>
      <c r="C7" s="102">
        <v>1.66</v>
      </c>
      <c r="D7" s="102">
        <v>4.4</v>
      </c>
      <c r="E7" s="102">
        <v>6.1</v>
      </c>
      <c r="F7" s="102">
        <v>72.13114754098362</v>
      </c>
      <c r="G7" s="103">
        <v>1999</v>
      </c>
      <c r="H7" s="106">
        <v>4.55265504738021</v>
      </c>
      <c r="I7" s="106">
        <v>2.6779</v>
      </c>
      <c r="J7" s="106">
        <v>11.42932636297537</v>
      </c>
      <c r="K7" s="106">
        <v>13.445990562439</v>
      </c>
      <c r="L7" s="106">
        <v>577.156151521158</v>
      </c>
      <c r="M7" s="106">
        <v>39</v>
      </c>
      <c r="N7" s="106">
        <v>-0.13895517376056776</v>
      </c>
      <c r="O7" s="106">
        <v>0.6744</v>
      </c>
      <c r="P7" s="106">
        <v>0.6023255000000001</v>
      </c>
      <c r="Q7" s="106">
        <v>0.8191763</v>
      </c>
      <c r="R7" s="44">
        <v>6</v>
      </c>
      <c r="S7" s="44" t="s">
        <v>193</v>
      </c>
    </row>
    <row r="8" spans="1:19" ht="12.75">
      <c r="A8" s="44" t="s">
        <v>564</v>
      </c>
      <c r="B8" s="24" t="s">
        <v>179</v>
      </c>
      <c r="C8" s="102">
        <v>4.2</v>
      </c>
      <c r="D8" s="102">
        <v>5.3</v>
      </c>
      <c r="E8" s="102">
        <v>9.5</v>
      </c>
      <c r="F8" s="102">
        <v>55.78947368421052</v>
      </c>
      <c r="G8" s="103">
        <v>2001</v>
      </c>
      <c r="H8" s="106">
        <v>3.34733440191417</v>
      </c>
      <c r="I8" s="106">
        <v>2.0482</v>
      </c>
      <c r="J8" s="106">
        <v>14.82932636297537</v>
      </c>
      <c r="K8" s="106">
        <v>12.9108800888062</v>
      </c>
      <c r="L8" s="106">
        <v>10347.9246536883</v>
      </c>
      <c r="M8" s="106" t="s">
        <v>193</v>
      </c>
      <c r="N8" s="106">
        <v>0.7541134668677516</v>
      </c>
      <c r="O8" s="106">
        <v>0.4633999999999999</v>
      </c>
      <c r="P8" s="106">
        <v>0.45467219999999997</v>
      </c>
      <c r="Q8" s="106">
        <v>0.6384659</v>
      </c>
      <c r="R8" s="44">
        <v>10</v>
      </c>
      <c r="S8" s="44" t="s">
        <v>193</v>
      </c>
    </row>
    <row r="9" spans="1:19" ht="12.75">
      <c r="A9" s="44" t="s">
        <v>564</v>
      </c>
      <c r="B9" s="24" t="s">
        <v>138</v>
      </c>
      <c r="C9" s="102">
        <v>0.85</v>
      </c>
      <c r="D9" s="102">
        <v>0.15</v>
      </c>
      <c r="E9" s="102">
        <v>1</v>
      </c>
      <c r="F9" s="102">
        <v>15</v>
      </c>
      <c r="G9" s="103">
        <v>2004</v>
      </c>
      <c r="H9" s="106">
        <v>4.0591758026775</v>
      </c>
      <c r="I9" s="106">
        <v>2.3777</v>
      </c>
      <c r="J9" s="106">
        <v>6.329326362975371</v>
      </c>
      <c r="K9" s="106">
        <v>13.8695440292358</v>
      </c>
      <c r="L9" s="106">
        <v>1677.53203852015</v>
      </c>
      <c r="M9" s="106">
        <v>41.25</v>
      </c>
      <c r="N9" s="106">
        <v>0.06345305107377815</v>
      </c>
      <c r="O9" s="106">
        <v>0.693884</v>
      </c>
      <c r="P9" s="106">
        <v>0.6960835309107918</v>
      </c>
      <c r="Q9" s="106">
        <v>0.1497394</v>
      </c>
      <c r="R9" s="44">
        <v>8</v>
      </c>
      <c r="S9" s="44" t="s">
        <v>193</v>
      </c>
    </row>
    <row r="10" spans="1:19" ht="12.75">
      <c r="A10" s="44" t="s">
        <v>564</v>
      </c>
      <c r="B10" s="24" t="s">
        <v>177</v>
      </c>
      <c r="C10" s="102" t="s">
        <v>193</v>
      </c>
      <c r="D10" s="102">
        <v>3.2</v>
      </c>
      <c r="E10" s="102" t="s">
        <v>193</v>
      </c>
      <c r="F10" s="102" t="s">
        <v>193</v>
      </c>
      <c r="G10" s="103">
        <v>2002</v>
      </c>
      <c r="H10" s="106">
        <v>5.19604265716902</v>
      </c>
      <c r="I10" s="106">
        <v>3.3698</v>
      </c>
      <c r="J10" s="106" t="s">
        <v>193</v>
      </c>
      <c r="K10" s="106">
        <v>18.4210338592529</v>
      </c>
      <c r="L10" s="106">
        <v>9444.74845690803</v>
      </c>
      <c r="M10" s="106">
        <v>57.78</v>
      </c>
      <c r="N10" s="106">
        <v>0.6258819344822485</v>
      </c>
      <c r="O10" s="106">
        <v>0.7517428724324049</v>
      </c>
      <c r="P10" s="106">
        <v>0.86524</v>
      </c>
      <c r="Q10" s="106">
        <v>0.8602599</v>
      </c>
      <c r="R10" s="44">
        <v>9</v>
      </c>
      <c r="S10" s="44">
        <v>5</v>
      </c>
    </row>
    <row r="11" spans="1:17" s="109" customFormat="1" ht="12.75">
      <c r="A11" s="109" t="s">
        <v>564</v>
      </c>
      <c r="B11" s="110" t="s">
        <v>380</v>
      </c>
      <c r="C11" s="112">
        <f>AVERAGE(C$2:C$10)</f>
        <v>1.485</v>
      </c>
      <c r="D11" s="112">
        <f aca="true" t="shared" si="0" ref="D11:M11">AVERAGE(D$2:D$10)</f>
        <v>3.0750000000000006</v>
      </c>
      <c r="E11" s="112">
        <f t="shared" si="0"/>
        <v>4.279999999999999</v>
      </c>
      <c r="F11" s="112">
        <f t="shared" si="0"/>
        <v>46.44444102058425</v>
      </c>
      <c r="G11" s="111"/>
      <c r="H11" s="112">
        <f t="shared" si="0"/>
        <v>4.7067265760346055</v>
      </c>
      <c r="I11" s="112">
        <f t="shared" si="0"/>
        <v>2.5243222222222226</v>
      </c>
      <c r="J11" s="112">
        <f t="shared" si="0"/>
        <v>9.60932636297537</v>
      </c>
      <c r="K11" s="112">
        <f t="shared" si="0"/>
        <v>15.078248023986816</v>
      </c>
      <c r="L11" s="112">
        <f t="shared" si="0"/>
        <v>3525.6236367260713</v>
      </c>
      <c r="M11" s="112">
        <f t="shared" si="0"/>
        <v>41.63409857142857</v>
      </c>
      <c r="N11" s="106"/>
      <c r="O11" s="106"/>
      <c r="P11" s="106"/>
      <c r="Q11" s="106"/>
    </row>
    <row r="12" spans="1:17" s="109" customFormat="1" ht="12.75">
      <c r="A12" s="109" t="s">
        <v>564</v>
      </c>
      <c r="B12" s="110" t="s">
        <v>381</v>
      </c>
      <c r="C12" s="112">
        <f>MEDIAN(C$2:C$10)</f>
        <v>1.05</v>
      </c>
      <c r="D12" s="112">
        <f aca="true" t="shared" si="1" ref="D12:M12">MEDIAN(D$2:D$10)</f>
        <v>3.8000000000000003</v>
      </c>
      <c r="E12" s="112">
        <f t="shared" si="1"/>
        <v>2.7</v>
      </c>
      <c r="F12" s="112">
        <f t="shared" si="1"/>
        <v>49.32330827067669</v>
      </c>
      <c r="G12" s="111"/>
      <c r="H12" s="112">
        <f t="shared" si="1"/>
        <v>4.0591758026775</v>
      </c>
      <c r="I12" s="112">
        <f t="shared" si="1"/>
        <v>2.3777</v>
      </c>
      <c r="J12" s="112">
        <f t="shared" si="1"/>
        <v>8.02932636297537</v>
      </c>
      <c r="K12" s="112">
        <f t="shared" si="1"/>
        <v>13.445990562439</v>
      </c>
      <c r="L12" s="112">
        <f t="shared" si="1"/>
        <v>1073.71142895368</v>
      </c>
      <c r="M12" s="112">
        <f t="shared" si="1"/>
        <v>39.51</v>
      </c>
      <c r="N12" s="106"/>
      <c r="O12" s="106"/>
      <c r="P12" s="106"/>
      <c r="Q12" s="106"/>
    </row>
    <row r="13" spans="1:19" ht="12.75">
      <c r="A13" s="44" t="s">
        <v>563</v>
      </c>
      <c r="B13" s="44" t="s">
        <v>226</v>
      </c>
      <c r="C13" s="102" t="s">
        <v>193</v>
      </c>
      <c r="D13" s="102" t="s">
        <v>193</v>
      </c>
      <c r="E13" s="102">
        <v>0.7</v>
      </c>
      <c r="F13" s="102" t="s">
        <v>193</v>
      </c>
      <c r="G13" s="103">
        <v>2002</v>
      </c>
      <c r="H13" s="106">
        <v>1.7953801179456</v>
      </c>
      <c r="I13" s="106">
        <v>1.9951</v>
      </c>
      <c r="J13" s="106">
        <v>6.02932636297537</v>
      </c>
      <c r="K13" s="106">
        <v>5.44608783721924</v>
      </c>
      <c r="L13" s="106">
        <v>1980.09121015644</v>
      </c>
      <c r="M13" s="106">
        <v>41.71</v>
      </c>
      <c r="N13" s="106">
        <v>-0.772192746329166</v>
      </c>
      <c r="O13" s="106">
        <v>0.2104640000000001</v>
      </c>
      <c r="P13" s="106">
        <v>0.21043940000000005</v>
      </c>
      <c r="Q13" s="106">
        <v>0.0964534</v>
      </c>
      <c r="R13" s="44">
        <v>3</v>
      </c>
      <c r="S13" s="44" t="s">
        <v>193</v>
      </c>
    </row>
    <row r="14" spans="1:19" ht="12.75">
      <c r="A14" s="44" t="s">
        <v>563</v>
      </c>
      <c r="B14" s="44" t="s">
        <v>459</v>
      </c>
      <c r="C14" s="102">
        <v>1.64</v>
      </c>
      <c r="D14" s="102">
        <v>0.43</v>
      </c>
      <c r="E14" s="102">
        <v>2.07</v>
      </c>
      <c r="F14" s="102">
        <v>20.77294685990338</v>
      </c>
      <c r="G14" s="103">
        <v>2006</v>
      </c>
      <c r="H14" s="106" t="s">
        <v>193</v>
      </c>
      <c r="I14" s="106">
        <v>1.786</v>
      </c>
      <c r="J14" s="106" t="s">
        <v>193</v>
      </c>
      <c r="K14" s="106">
        <v>11.0795001983643</v>
      </c>
      <c r="L14" s="106">
        <v>7659.73778718011</v>
      </c>
      <c r="M14" s="106">
        <v>46.9</v>
      </c>
      <c r="N14" s="106">
        <v>-1.6581455070903073</v>
      </c>
      <c r="O14" s="106">
        <v>0.15379034000000014</v>
      </c>
      <c r="P14" s="106">
        <v>0.13269770000000003</v>
      </c>
      <c r="Q14" s="106">
        <v>0.6642963</v>
      </c>
      <c r="R14" s="44">
        <v>0</v>
      </c>
      <c r="S14" s="44">
        <v>7</v>
      </c>
    </row>
    <row r="15" spans="1:19" ht="12.75">
      <c r="A15" s="44" t="s">
        <v>563</v>
      </c>
      <c r="B15" s="24" t="s">
        <v>227</v>
      </c>
      <c r="C15" s="102" t="s">
        <v>193</v>
      </c>
      <c r="D15" s="102">
        <v>1.3</v>
      </c>
      <c r="E15" s="102" t="s">
        <v>193</v>
      </c>
      <c r="F15" s="102" t="s">
        <v>193</v>
      </c>
      <c r="G15" s="103">
        <v>2006</v>
      </c>
      <c r="H15" s="106">
        <v>0.947662296252266</v>
      </c>
      <c r="I15" s="106">
        <v>0.9576</v>
      </c>
      <c r="J15" s="106" t="s">
        <v>193</v>
      </c>
      <c r="K15" s="106">
        <v>7.11333847045898</v>
      </c>
      <c r="L15" s="106">
        <v>4130.35453068402</v>
      </c>
      <c r="M15" s="106">
        <v>34.3079</v>
      </c>
      <c r="N15" s="106">
        <v>-0.24767613523924162</v>
      </c>
      <c r="O15" s="106">
        <v>0.7351340000000001</v>
      </c>
      <c r="P15" s="106">
        <v>0.7679988</v>
      </c>
      <c r="Q15" s="106">
        <v>0.2340266</v>
      </c>
      <c r="R15" s="44">
        <v>8</v>
      </c>
      <c r="S15" s="44">
        <v>7</v>
      </c>
    </row>
    <row r="16" spans="1:19" ht="12.75">
      <c r="A16" s="44" t="s">
        <v>563</v>
      </c>
      <c r="B16" s="24" t="s">
        <v>488</v>
      </c>
      <c r="C16" s="102" t="s">
        <v>193</v>
      </c>
      <c r="D16" s="102" t="s">
        <v>193</v>
      </c>
      <c r="E16" s="102">
        <v>1.9</v>
      </c>
      <c r="F16" s="102" t="s">
        <v>193</v>
      </c>
      <c r="G16" s="103">
        <v>1997</v>
      </c>
      <c r="H16" s="106" t="s">
        <v>193</v>
      </c>
      <c r="I16" s="106">
        <v>2.2176</v>
      </c>
      <c r="J16" s="106" t="s">
        <v>193</v>
      </c>
      <c r="K16" s="106">
        <v>11.554612159729</v>
      </c>
      <c r="L16" s="106">
        <v>14246.6190669912</v>
      </c>
      <c r="M16" s="106" t="s">
        <v>193</v>
      </c>
      <c r="N16" s="106">
        <v>0.6312979960706472</v>
      </c>
      <c r="O16" s="106">
        <v>0.0019979999999997222</v>
      </c>
      <c r="P16" s="106">
        <v>0.0021132000000000373</v>
      </c>
      <c r="Q16" s="106">
        <v>0.6603648</v>
      </c>
      <c r="R16" s="44">
        <v>7</v>
      </c>
      <c r="S16" s="44" t="s">
        <v>193</v>
      </c>
    </row>
    <row r="17" spans="1:19" ht="12.75">
      <c r="A17" s="44" t="s">
        <v>563</v>
      </c>
      <c r="B17" s="24" t="s">
        <v>228</v>
      </c>
      <c r="C17" s="102">
        <v>1.4</v>
      </c>
      <c r="D17" s="102" t="s">
        <v>193</v>
      </c>
      <c r="E17" s="102" t="s">
        <v>193</v>
      </c>
      <c r="F17" s="102" t="s">
        <v>193</v>
      </c>
      <c r="G17" s="103">
        <v>1999</v>
      </c>
      <c r="H17" s="106">
        <v>5.686792316072</v>
      </c>
      <c r="I17" s="106">
        <v>1.7292</v>
      </c>
      <c r="J17" s="106" t="s">
        <v>193</v>
      </c>
      <c r="K17" s="106">
        <v>10.9866876602173</v>
      </c>
      <c r="L17" s="106">
        <v>7882.95466307575</v>
      </c>
      <c r="M17" s="106">
        <v>49.15</v>
      </c>
      <c r="N17" s="106">
        <v>-0.19873999734512443</v>
      </c>
      <c r="O17" s="106">
        <v>0.5879619999999999</v>
      </c>
      <c r="P17" s="106">
        <v>0.5969522</v>
      </c>
      <c r="Q17" s="106">
        <v>0.6656884</v>
      </c>
      <c r="R17" s="44">
        <v>4</v>
      </c>
      <c r="S17" s="44" t="s">
        <v>193</v>
      </c>
    </row>
    <row r="18" spans="1:19" ht="12.75">
      <c r="A18" s="44" t="s">
        <v>563</v>
      </c>
      <c r="B18" s="24" t="s">
        <v>229</v>
      </c>
      <c r="C18" s="102">
        <v>5.9495</v>
      </c>
      <c r="D18" s="102">
        <v>1.3505000000000003</v>
      </c>
      <c r="E18" s="102">
        <v>7.3</v>
      </c>
      <c r="F18" s="102">
        <v>18.5</v>
      </c>
      <c r="G18" s="103">
        <v>2000</v>
      </c>
      <c r="H18" s="106">
        <v>6.66807192025216</v>
      </c>
      <c r="I18" s="106">
        <v>5.9013</v>
      </c>
      <c r="J18" s="106">
        <v>12.62932636297537</v>
      </c>
      <c r="K18" s="106">
        <v>18.0778713226318</v>
      </c>
      <c r="L18" s="106">
        <v>1522.80648006525</v>
      </c>
      <c r="M18" s="106">
        <v>32.8</v>
      </c>
      <c r="N18" s="106">
        <v>0.36813549876143736</v>
      </c>
      <c r="O18" s="106">
        <v>0.36822400000000033</v>
      </c>
      <c r="P18" s="106">
        <v>0.37342790000000003</v>
      </c>
      <c r="Q18" s="106">
        <v>0.0798612</v>
      </c>
      <c r="R18" s="44">
        <v>10</v>
      </c>
      <c r="S18" s="44" t="s">
        <v>193</v>
      </c>
    </row>
    <row r="19" spans="1:19" ht="12.75">
      <c r="A19" s="44" t="s">
        <v>563</v>
      </c>
      <c r="B19" s="24" t="s">
        <v>230</v>
      </c>
      <c r="C19" s="102" t="s">
        <v>193</v>
      </c>
      <c r="D19" s="102">
        <v>0.22</v>
      </c>
      <c r="E19" s="102" t="s">
        <v>193</v>
      </c>
      <c r="F19" s="102" t="s">
        <v>193</v>
      </c>
      <c r="G19" s="103">
        <v>2005</v>
      </c>
      <c r="H19" s="106">
        <v>2.72444668921568</v>
      </c>
      <c r="I19" s="106">
        <v>1.3532</v>
      </c>
      <c r="J19" s="106" t="s">
        <v>193</v>
      </c>
      <c r="K19" s="106">
        <v>9.70115375518799</v>
      </c>
      <c r="L19" s="106">
        <v>5139.62697062609</v>
      </c>
      <c r="M19" s="106">
        <v>44.53</v>
      </c>
      <c r="N19" s="106">
        <v>0.024459912948507512</v>
      </c>
      <c r="O19" s="106">
        <v>0.23854073219701816</v>
      </c>
      <c r="P19" s="106">
        <v>0.8359525</v>
      </c>
      <c r="Q19" s="106">
        <v>0.3055925</v>
      </c>
      <c r="R19" s="44">
        <v>8</v>
      </c>
      <c r="S19" s="44">
        <v>7</v>
      </c>
    </row>
    <row r="20" spans="1:19" ht="12.75">
      <c r="A20" s="44" t="s">
        <v>563</v>
      </c>
      <c r="B20" s="24" t="s">
        <v>231</v>
      </c>
      <c r="C20" s="102" t="s">
        <v>193</v>
      </c>
      <c r="D20" s="102" t="s">
        <v>193</v>
      </c>
      <c r="E20" s="102">
        <v>0.6</v>
      </c>
      <c r="F20" s="102" t="s">
        <v>193</v>
      </c>
      <c r="G20" s="103">
        <v>2001</v>
      </c>
      <c r="H20" s="106">
        <v>5.01636118109279</v>
      </c>
      <c r="I20" s="106">
        <v>1.8612</v>
      </c>
      <c r="J20" s="106">
        <v>5.92932636297537</v>
      </c>
      <c r="K20" s="106">
        <v>11.32008934021</v>
      </c>
      <c r="L20" s="106">
        <v>6552.26531278837</v>
      </c>
      <c r="M20" s="106">
        <v>43.15</v>
      </c>
      <c r="N20" s="106">
        <v>0.5074317909956876</v>
      </c>
      <c r="O20" s="106">
        <v>0.6338239999999999</v>
      </c>
      <c r="P20" s="106">
        <v>0.634444</v>
      </c>
      <c r="Q20" s="106">
        <v>0.099422</v>
      </c>
      <c r="R20" s="44">
        <v>9</v>
      </c>
      <c r="S20" s="44" t="s">
        <v>193</v>
      </c>
    </row>
    <row r="21" spans="1:19" ht="12.75">
      <c r="A21" s="44" t="s">
        <v>563</v>
      </c>
      <c r="B21" s="24" t="s">
        <v>232</v>
      </c>
      <c r="C21" s="102">
        <v>1.5</v>
      </c>
      <c r="D21" s="102">
        <v>1.1</v>
      </c>
      <c r="E21" s="102">
        <v>2.6</v>
      </c>
      <c r="F21" s="102">
        <v>42.30769230769231</v>
      </c>
      <c r="G21" s="103">
        <v>1998</v>
      </c>
      <c r="H21" s="106" t="s">
        <v>193</v>
      </c>
      <c r="I21" s="106">
        <v>1.484</v>
      </c>
      <c r="J21" s="106" t="s">
        <v>193</v>
      </c>
      <c r="K21" s="106">
        <v>7.62374067306519</v>
      </c>
      <c r="L21" s="106">
        <v>1784.59777113479</v>
      </c>
      <c r="M21" s="106">
        <v>35.52</v>
      </c>
      <c r="N21" s="106">
        <v>-1.405633526903629</v>
      </c>
      <c r="O21" s="106">
        <v>0.23830799999999996</v>
      </c>
      <c r="P21" s="106">
        <v>0.2377085</v>
      </c>
      <c r="Q21" s="106">
        <v>0.5080248</v>
      </c>
      <c r="R21" s="44">
        <v>0</v>
      </c>
      <c r="S21" s="44">
        <v>6</v>
      </c>
    </row>
    <row r="22" spans="1:17" s="109" customFormat="1" ht="12.75">
      <c r="A22" s="109" t="s">
        <v>563</v>
      </c>
      <c r="B22" s="110" t="s">
        <v>382</v>
      </c>
      <c r="C22" s="112">
        <f>AVERAGE(C$13:C$21)</f>
        <v>2.622375</v>
      </c>
      <c r="D22" s="112">
        <f aca="true" t="shared" si="2" ref="D22:M22">AVERAGE(D$13:D$21)</f>
        <v>0.8801000000000002</v>
      </c>
      <c r="E22" s="112">
        <f t="shared" si="2"/>
        <v>2.528333333333333</v>
      </c>
      <c r="F22" s="112">
        <f t="shared" si="2"/>
        <v>27.193546389198563</v>
      </c>
      <c r="G22" s="111"/>
      <c r="H22" s="112">
        <f t="shared" si="2"/>
        <v>3.8064524201384162</v>
      </c>
      <c r="I22" s="112">
        <f t="shared" si="2"/>
        <v>2.1427999999999994</v>
      </c>
      <c r="J22" s="112">
        <f t="shared" si="2"/>
        <v>8.195993029642036</v>
      </c>
      <c r="K22" s="112">
        <f t="shared" si="2"/>
        <v>10.3225646018982</v>
      </c>
      <c r="L22" s="112">
        <f t="shared" si="2"/>
        <v>5655.450421411335</v>
      </c>
      <c r="M22" s="112">
        <f t="shared" si="2"/>
        <v>41.0084875</v>
      </c>
      <c r="N22" s="106"/>
      <c r="O22" s="106"/>
      <c r="P22" s="106"/>
      <c r="Q22" s="106"/>
    </row>
    <row r="23" spans="1:17" s="109" customFormat="1" ht="12.75">
      <c r="A23" s="109" t="s">
        <v>563</v>
      </c>
      <c r="B23" s="110" t="s">
        <v>383</v>
      </c>
      <c r="C23" s="112">
        <f>MEDIAN(C$13:C$21)</f>
        <v>1.5699999999999998</v>
      </c>
      <c r="D23" s="112">
        <f aca="true" t="shared" si="3" ref="D23:M23">MEDIAN(D$13:D$21)</f>
        <v>1.1</v>
      </c>
      <c r="E23" s="112">
        <f t="shared" si="3"/>
        <v>1.9849999999999999</v>
      </c>
      <c r="F23" s="112">
        <f t="shared" si="3"/>
        <v>20.77294685990338</v>
      </c>
      <c r="G23" s="111"/>
      <c r="H23" s="112">
        <f t="shared" si="3"/>
        <v>3.8704039351542354</v>
      </c>
      <c r="I23" s="112">
        <f t="shared" si="3"/>
        <v>1.786</v>
      </c>
      <c r="J23" s="112">
        <f t="shared" si="3"/>
        <v>6.02932636297537</v>
      </c>
      <c r="K23" s="112">
        <f t="shared" si="3"/>
        <v>10.9866876602173</v>
      </c>
      <c r="L23" s="112">
        <f t="shared" si="3"/>
        <v>5139.62697062609</v>
      </c>
      <c r="M23" s="112">
        <f t="shared" si="3"/>
        <v>42.43</v>
      </c>
      <c r="N23" s="106"/>
      <c r="O23" s="106"/>
      <c r="P23" s="106"/>
      <c r="Q23" s="106"/>
    </row>
    <row r="24" spans="1:19" ht="12.75">
      <c r="A24" s="44" t="s">
        <v>560</v>
      </c>
      <c r="B24" s="24" t="s">
        <v>203</v>
      </c>
      <c r="C24" s="102">
        <v>5.5</v>
      </c>
      <c r="D24" s="102">
        <v>1.2</v>
      </c>
      <c r="E24" s="102">
        <v>6.7</v>
      </c>
      <c r="F24" s="102">
        <v>17.91044776119403</v>
      </c>
      <c r="G24" s="103">
        <v>2005</v>
      </c>
      <c r="H24" s="106">
        <v>2.86624306463639</v>
      </c>
      <c r="I24" s="106">
        <v>2.9547</v>
      </c>
      <c r="J24" s="106">
        <v>12.02932636297537</v>
      </c>
      <c r="K24" s="106">
        <v>9.34315967559814</v>
      </c>
      <c r="L24" s="106">
        <v>5317.89917944021</v>
      </c>
      <c r="M24" s="106">
        <v>31.1</v>
      </c>
      <c r="N24" s="106">
        <v>-0.037114680769889365</v>
      </c>
      <c r="O24" s="106">
        <v>0.220426</v>
      </c>
      <c r="P24" s="106">
        <v>0.03992479999999998</v>
      </c>
      <c r="Q24" s="106">
        <v>0.4718516</v>
      </c>
      <c r="R24" s="44">
        <v>7</v>
      </c>
      <c r="S24" s="44">
        <v>6</v>
      </c>
    </row>
    <row r="25" spans="1:19" ht="12.75">
      <c r="A25" s="44" t="s">
        <v>560</v>
      </c>
      <c r="B25" s="24" t="s">
        <v>204</v>
      </c>
      <c r="C25" s="102">
        <v>3</v>
      </c>
      <c r="D25" s="102">
        <v>2.1</v>
      </c>
      <c r="E25" s="102">
        <v>5.11</v>
      </c>
      <c r="F25" s="102">
        <v>41.0958904109589</v>
      </c>
      <c r="G25" s="103">
        <v>2002</v>
      </c>
      <c r="H25" s="106">
        <v>3.18338903481153</v>
      </c>
      <c r="I25" s="106">
        <v>1.2744</v>
      </c>
      <c r="J25" s="106">
        <v>10.43932636297537</v>
      </c>
      <c r="K25" s="106">
        <v>9.98704051971436</v>
      </c>
      <c r="L25" s="106">
        <v>3161.43384645668</v>
      </c>
      <c r="M25" s="106">
        <v>33.766</v>
      </c>
      <c r="N25" s="106">
        <v>-0.5150505988756748</v>
      </c>
      <c r="O25" s="106">
        <v>0.1271540000000001</v>
      </c>
      <c r="P25" s="106">
        <v>0.12905350000000004</v>
      </c>
      <c r="Q25" s="106">
        <v>0.4575609</v>
      </c>
      <c r="R25" s="44">
        <v>6</v>
      </c>
      <c r="S25" s="44">
        <v>7</v>
      </c>
    </row>
    <row r="26" spans="1:19" ht="12.75">
      <c r="A26" s="44" t="s">
        <v>560</v>
      </c>
      <c r="B26" s="44" t="s">
        <v>205</v>
      </c>
      <c r="C26" s="102">
        <v>3.7</v>
      </c>
      <c r="D26" s="102">
        <v>1.6</v>
      </c>
      <c r="E26" s="102">
        <v>5.3</v>
      </c>
      <c r="F26" s="102">
        <v>30.188679245283023</v>
      </c>
      <c r="G26" s="103">
        <v>2001</v>
      </c>
      <c r="H26" s="106">
        <v>3.50341936683864</v>
      </c>
      <c r="I26" s="106">
        <v>0.872</v>
      </c>
      <c r="J26" s="106">
        <v>10.62932636297537</v>
      </c>
      <c r="K26" s="106">
        <v>13.6466245651245</v>
      </c>
      <c r="L26" s="106">
        <v>2764.49488416694</v>
      </c>
      <c r="M26" s="106">
        <v>36.5</v>
      </c>
      <c r="N26" s="106">
        <v>-0.9586755159889335</v>
      </c>
      <c r="O26" s="106">
        <v>0.20467199999999997</v>
      </c>
      <c r="P26" s="106">
        <v>0.20539189999999996</v>
      </c>
      <c r="Q26" s="106">
        <v>0.4898947</v>
      </c>
      <c r="R26" s="44">
        <v>0</v>
      </c>
      <c r="S26" s="44">
        <v>5</v>
      </c>
    </row>
    <row r="27" spans="1:19" ht="12.75">
      <c r="A27" s="44" t="s">
        <v>560</v>
      </c>
      <c r="B27" s="44" t="s">
        <v>206</v>
      </c>
      <c r="C27" s="102" t="s">
        <v>193</v>
      </c>
      <c r="D27" s="102" t="s">
        <v>193</v>
      </c>
      <c r="E27" s="102">
        <v>14.4</v>
      </c>
      <c r="F27" s="102" t="s">
        <v>193</v>
      </c>
      <c r="G27" s="103">
        <v>2001</v>
      </c>
      <c r="H27" s="106">
        <v>6.00001354307043</v>
      </c>
      <c r="I27" s="106">
        <v>4.9714</v>
      </c>
      <c r="J27" s="106">
        <v>19.729326362975367</v>
      </c>
      <c r="K27" s="106">
        <v>21.5527687072754</v>
      </c>
      <c r="L27" s="106">
        <v>5168.8774669781</v>
      </c>
      <c r="M27" s="106">
        <v>30.35</v>
      </c>
      <c r="N27" s="106">
        <v>-1.3514078862594654</v>
      </c>
      <c r="O27" s="106">
        <v>0.3221839999999999</v>
      </c>
      <c r="P27" s="106">
        <v>0.46660670000000004</v>
      </c>
      <c r="Q27" s="106">
        <v>0.6116207</v>
      </c>
      <c r="R27" s="44">
        <v>0</v>
      </c>
      <c r="S27" s="44">
        <v>5</v>
      </c>
    </row>
    <row r="28" spans="1:19" ht="12.75">
      <c r="A28" s="44" t="s">
        <v>560</v>
      </c>
      <c r="B28" s="24" t="s">
        <v>207</v>
      </c>
      <c r="C28" s="102">
        <v>8.9</v>
      </c>
      <c r="D28" s="102">
        <v>6.9</v>
      </c>
      <c r="E28" s="102">
        <v>15.8</v>
      </c>
      <c r="F28" s="102">
        <v>43.67088607594937</v>
      </c>
      <c r="G28" s="103">
        <v>2000</v>
      </c>
      <c r="H28" s="106" t="s">
        <v>193</v>
      </c>
      <c r="I28" s="106">
        <v>4.9305</v>
      </c>
      <c r="J28" s="106" t="s">
        <v>193</v>
      </c>
      <c r="K28" s="106" t="s">
        <v>193</v>
      </c>
      <c r="L28" s="106" t="s">
        <v>193</v>
      </c>
      <c r="M28" s="106">
        <v>26.15</v>
      </c>
      <c r="N28" s="106">
        <v>-0.08422349206798252</v>
      </c>
      <c r="O28" s="106">
        <v>0.630038</v>
      </c>
      <c r="P28" s="106">
        <v>0.6751031000000001</v>
      </c>
      <c r="Q28" s="106">
        <v>0.6850857</v>
      </c>
      <c r="R28" s="44">
        <v>-66</v>
      </c>
      <c r="S28" s="44">
        <v>6</v>
      </c>
    </row>
    <row r="29" spans="1:19" ht="12.75">
      <c r="A29" s="44" t="s">
        <v>560</v>
      </c>
      <c r="B29" s="24" t="s">
        <v>208</v>
      </c>
      <c r="C29" s="102">
        <v>9.5</v>
      </c>
      <c r="D29" s="102">
        <v>1.2</v>
      </c>
      <c r="E29" s="102">
        <v>10.7</v>
      </c>
      <c r="F29" s="102">
        <v>11.214953271028037</v>
      </c>
      <c r="G29" s="103">
        <v>2004</v>
      </c>
      <c r="H29" s="106">
        <v>4.24049809784036</v>
      </c>
      <c r="I29" s="106">
        <v>4.608</v>
      </c>
      <c r="J29" s="106">
        <v>16.029326362975368</v>
      </c>
      <c r="K29" s="106">
        <v>18.3096790313721</v>
      </c>
      <c r="L29" s="106">
        <v>8384.71053839353</v>
      </c>
      <c r="M29" s="106">
        <v>29.21</v>
      </c>
      <c r="N29" s="106">
        <v>0.5581649785581742</v>
      </c>
      <c r="O29" s="106">
        <v>0.40211411441405753</v>
      </c>
      <c r="P29" s="106">
        <v>0.30309129999999995</v>
      </c>
      <c r="Q29" s="106">
        <v>0.5965012</v>
      </c>
      <c r="R29" s="44">
        <v>9</v>
      </c>
      <c r="S29" s="44">
        <v>7</v>
      </c>
    </row>
    <row r="30" spans="1:19" ht="12.75">
      <c r="A30" s="44" t="s">
        <v>560</v>
      </c>
      <c r="B30" s="24" t="s">
        <v>209</v>
      </c>
      <c r="C30" s="102">
        <v>12.4</v>
      </c>
      <c r="D30" s="102">
        <v>1.8</v>
      </c>
      <c r="E30" s="102">
        <v>14.2</v>
      </c>
      <c r="F30" s="102">
        <v>12.676056338028168</v>
      </c>
      <c r="G30" s="103">
        <v>2000</v>
      </c>
      <c r="H30" s="106">
        <v>4.49476903620901</v>
      </c>
      <c r="I30" s="106">
        <v>7.776</v>
      </c>
      <c r="J30" s="106">
        <v>19.529326362975368</v>
      </c>
      <c r="K30" s="106">
        <v>24.802978515625</v>
      </c>
      <c r="L30" s="106">
        <v>9115.83498187735</v>
      </c>
      <c r="M30" s="106">
        <v>27.71</v>
      </c>
      <c r="N30" s="106">
        <v>0.4387315630325199</v>
      </c>
      <c r="O30" s="106">
        <v>0.36902599999999997</v>
      </c>
      <c r="P30" s="106">
        <v>0.07628389999999996</v>
      </c>
      <c r="Q30" s="106">
        <v>0.4447331</v>
      </c>
      <c r="R30" s="44">
        <v>7</v>
      </c>
      <c r="S30" s="44">
        <v>5</v>
      </c>
    </row>
    <row r="31" spans="1:19" ht="12.75">
      <c r="A31" s="44" t="s">
        <v>560</v>
      </c>
      <c r="B31" s="24" t="s">
        <v>210</v>
      </c>
      <c r="C31" s="102">
        <v>11.4</v>
      </c>
      <c r="D31" s="102">
        <v>2.4</v>
      </c>
      <c r="E31" s="102">
        <v>13.8</v>
      </c>
      <c r="F31" s="102">
        <v>17.391304347826086</v>
      </c>
      <c r="G31" s="103">
        <v>2000</v>
      </c>
      <c r="H31" s="106">
        <v>4.04030954795436</v>
      </c>
      <c r="I31" s="106">
        <v>5.973</v>
      </c>
      <c r="J31" s="106">
        <v>19.12932636297537</v>
      </c>
      <c r="K31" s="106">
        <v>21.0551586151123</v>
      </c>
      <c r="L31" s="106">
        <v>15450.0676090718</v>
      </c>
      <c r="M31" s="106">
        <v>25.4</v>
      </c>
      <c r="N31" s="106">
        <v>0.8215254855571716</v>
      </c>
      <c r="O31" s="106">
        <v>0.3221639999999998</v>
      </c>
      <c r="P31" s="106">
        <v>0.32334300000000005</v>
      </c>
      <c r="Q31" s="106">
        <v>0.6590906</v>
      </c>
      <c r="R31" s="44">
        <v>10</v>
      </c>
      <c r="S31" s="44">
        <v>5</v>
      </c>
    </row>
    <row r="32" spans="1:19" ht="12.75">
      <c r="A32" s="44" t="s">
        <v>560</v>
      </c>
      <c r="B32" s="24" t="s">
        <v>211</v>
      </c>
      <c r="C32" s="102">
        <v>2.7</v>
      </c>
      <c r="D32" s="102">
        <v>1.5</v>
      </c>
      <c r="E32" s="102">
        <v>4.2</v>
      </c>
      <c r="F32" s="102">
        <v>35.714285714285715</v>
      </c>
      <c r="G32" s="103">
        <v>2000</v>
      </c>
      <c r="H32" s="106">
        <v>2.18106344766274</v>
      </c>
      <c r="I32" s="106">
        <v>1.2455</v>
      </c>
      <c r="J32" s="106">
        <v>9.52932636297537</v>
      </c>
      <c r="K32" s="106">
        <v>8.53881168365479</v>
      </c>
      <c r="L32" s="106">
        <v>1998.37810029739</v>
      </c>
      <c r="M32" s="106">
        <v>38.05</v>
      </c>
      <c r="N32" s="106">
        <v>-0.2422751252929271</v>
      </c>
      <c r="O32" s="106">
        <v>0.4922740000000002</v>
      </c>
      <c r="P32" s="106">
        <v>0.47485200000000005</v>
      </c>
      <c r="Q32" s="106">
        <v>0.6542991</v>
      </c>
      <c r="R32" s="44">
        <v>5</v>
      </c>
      <c r="S32" s="44">
        <v>8</v>
      </c>
    </row>
    <row r="33" spans="1:19" ht="12.75">
      <c r="A33" s="44" t="s">
        <v>560</v>
      </c>
      <c r="B33" s="24" t="s">
        <v>213</v>
      </c>
      <c r="C33" s="102">
        <v>3.2</v>
      </c>
      <c r="D33" s="102">
        <v>2.2</v>
      </c>
      <c r="E33" s="102">
        <v>5.4</v>
      </c>
      <c r="F33" s="102">
        <v>40.74074074074075</v>
      </c>
      <c r="G33" s="103">
        <v>2002</v>
      </c>
      <c r="H33" s="106">
        <v>3.02970320909179</v>
      </c>
      <c r="I33" s="106">
        <v>1.855</v>
      </c>
      <c r="J33" s="106">
        <v>10.729326362975371</v>
      </c>
      <c r="K33" s="106">
        <v>11.609504699707</v>
      </c>
      <c r="L33" s="106">
        <v>5651.93790201176</v>
      </c>
      <c r="M33" s="106">
        <v>31.3</v>
      </c>
      <c r="N33" s="106">
        <v>-1.0782969582087596</v>
      </c>
      <c r="O33" s="106">
        <v>0.617122</v>
      </c>
      <c r="P33" s="106">
        <v>0.6620897</v>
      </c>
      <c r="Q33" s="106">
        <v>0.5898463</v>
      </c>
      <c r="R33" s="44">
        <v>0</v>
      </c>
      <c r="S33" s="44" t="s">
        <v>193</v>
      </c>
    </row>
    <row r="34" spans="1:19" ht="12.75">
      <c r="A34" s="44" t="s">
        <v>560</v>
      </c>
      <c r="B34" s="24" t="s">
        <v>214</v>
      </c>
      <c r="C34" s="102">
        <v>3.3</v>
      </c>
      <c r="D34" s="102">
        <v>2.5</v>
      </c>
      <c r="E34" s="102">
        <v>5.8</v>
      </c>
      <c r="F34" s="102">
        <v>43.10344827586207</v>
      </c>
      <c r="G34" s="103">
        <v>2003</v>
      </c>
      <c r="H34" s="106" t="s">
        <v>193</v>
      </c>
      <c r="I34" s="106" t="s">
        <v>193</v>
      </c>
      <c r="J34" s="106" t="s">
        <v>193</v>
      </c>
      <c r="K34" s="106" t="s">
        <v>193</v>
      </c>
      <c r="L34" s="106" t="s">
        <v>193</v>
      </c>
      <c r="M34" s="106" t="s">
        <v>193</v>
      </c>
      <c r="N34" s="106">
        <v>-0.8800842600374731</v>
      </c>
      <c r="O34" s="106" t="s">
        <v>193</v>
      </c>
      <c r="P34" s="106" t="s">
        <v>193</v>
      </c>
      <c r="Q34" s="106" t="s">
        <v>193</v>
      </c>
      <c r="R34" s="44" t="s">
        <v>193</v>
      </c>
      <c r="S34" s="44" t="s">
        <v>193</v>
      </c>
    </row>
    <row r="35" spans="1:19" ht="12.75">
      <c r="A35" s="44" t="s">
        <v>560</v>
      </c>
      <c r="B35" s="24" t="s">
        <v>215</v>
      </c>
      <c r="C35" s="102">
        <v>5.1</v>
      </c>
      <c r="D35" s="102">
        <v>0.7</v>
      </c>
      <c r="E35" s="102">
        <v>5.8</v>
      </c>
      <c r="F35" s="102">
        <v>12.068965517241379</v>
      </c>
      <c r="G35" s="103">
        <v>2001</v>
      </c>
      <c r="H35" s="106">
        <v>3.09327666502258</v>
      </c>
      <c r="I35" s="106">
        <v>2.2746</v>
      </c>
      <c r="J35" s="106">
        <v>11.12932636297537</v>
      </c>
      <c r="K35" s="106">
        <v>17.4758033752441</v>
      </c>
      <c r="L35" s="106">
        <v>1601.53625086839</v>
      </c>
      <c r="M35" s="106">
        <v>29.03</v>
      </c>
      <c r="N35" s="106">
        <v>-1.1752962520166554</v>
      </c>
      <c r="O35" s="106">
        <v>0.675182</v>
      </c>
      <c r="P35" s="106">
        <v>0.5949289</v>
      </c>
      <c r="Q35" s="106">
        <v>0.4469888</v>
      </c>
      <c r="R35" s="44">
        <v>1</v>
      </c>
      <c r="S35" s="44">
        <v>6</v>
      </c>
    </row>
    <row r="36" spans="1:19" ht="12.75">
      <c r="A36" s="44" t="s">
        <v>560</v>
      </c>
      <c r="B36" s="24" t="s">
        <v>216</v>
      </c>
      <c r="C36" s="102">
        <v>9.935</v>
      </c>
      <c r="D36" s="102">
        <v>1.345</v>
      </c>
      <c r="E36" s="102">
        <v>11.285</v>
      </c>
      <c r="F36" s="102">
        <v>11.918475852902082</v>
      </c>
      <c r="G36" s="103">
        <v>2001</v>
      </c>
      <c r="H36" s="106">
        <v>5.47903226613289</v>
      </c>
      <c r="I36" s="106">
        <v>3.012</v>
      </c>
      <c r="J36" s="106">
        <v>16.61432636297537</v>
      </c>
      <c r="K36" s="106">
        <v>20.465892791748</v>
      </c>
      <c r="L36" s="106">
        <v>8872.95047594749</v>
      </c>
      <c r="M36" s="106">
        <v>37.665</v>
      </c>
      <c r="N36" s="106">
        <v>0.7719656631201892</v>
      </c>
      <c r="O36" s="106">
        <v>0.586668</v>
      </c>
      <c r="P36" s="106">
        <v>0.5795139</v>
      </c>
      <c r="Q36" s="106">
        <v>0.555566</v>
      </c>
      <c r="R36" s="44">
        <v>8</v>
      </c>
      <c r="S36" s="44" t="s">
        <v>193</v>
      </c>
    </row>
    <row r="37" spans="1:19" ht="12.75">
      <c r="A37" s="44" t="s">
        <v>560</v>
      </c>
      <c r="B37" s="24" t="s">
        <v>494</v>
      </c>
      <c r="C37" s="102">
        <v>10.6</v>
      </c>
      <c r="D37" s="102">
        <v>1.4</v>
      </c>
      <c r="E37" s="102">
        <v>12</v>
      </c>
      <c r="F37" s="102">
        <v>11.666666666666666</v>
      </c>
      <c r="G37" s="103">
        <v>2000</v>
      </c>
      <c r="H37" s="106">
        <v>4.12021744028292</v>
      </c>
      <c r="I37" s="106">
        <v>5.28</v>
      </c>
      <c r="J37" s="106">
        <v>17.32932636297537</v>
      </c>
      <c r="K37" s="106">
        <v>18.199161529541</v>
      </c>
      <c r="L37" s="106">
        <v>6055.26837148479</v>
      </c>
      <c r="M37" s="106">
        <v>28.21</v>
      </c>
      <c r="N37" s="106">
        <v>-0.35378430956316353</v>
      </c>
      <c r="O37" s="106">
        <v>0.5022579999999999</v>
      </c>
      <c r="P37" s="106">
        <v>0.5020711</v>
      </c>
      <c r="Q37" s="106">
        <v>0.5899174</v>
      </c>
      <c r="R37" s="44">
        <v>6</v>
      </c>
      <c r="S37" s="44">
        <v>5</v>
      </c>
    </row>
    <row r="38" spans="1:19" ht="12.75">
      <c r="A38" s="44" t="s">
        <v>560</v>
      </c>
      <c r="B38" s="24" t="s">
        <v>217</v>
      </c>
      <c r="C38" s="102">
        <v>7.5342</v>
      </c>
      <c r="D38" s="102">
        <v>1.7</v>
      </c>
      <c r="E38" s="102">
        <v>9.2342</v>
      </c>
      <c r="F38" s="102">
        <v>18.4098243486171</v>
      </c>
      <c r="G38" s="103">
        <v>2005</v>
      </c>
      <c r="H38" s="106">
        <v>4.26703384052119</v>
      </c>
      <c r="I38" s="106" t="s">
        <v>193</v>
      </c>
      <c r="J38" s="106" t="s">
        <v>193</v>
      </c>
      <c r="K38" s="106">
        <v>15.1705617904663</v>
      </c>
      <c r="L38" s="106">
        <v>2298.48132650244</v>
      </c>
      <c r="M38" s="106">
        <v>33.22</v>
      </c>
      <c r="N38" s="106">
        <v>-0.5986059077445273</v>
      </c>
      <c r="O38" s="106">
        <v>0.553478</v>
      </c>
      <c r="P38" s="106">
        <v>0.5533224</v>
      </c>
      <c r="Q38" s="106">
        <v>0.560292</v>
      </c>
      <c r="R38" s="44">
        <v>8</v>
      </c>
      <c r="S38" s="44">
        <v>7</v>
      </c>
    </row>
    <row r="39" spans="1:19" ht="12.75">
      <c r="A39" s="44" t="s">
        <v>560</v>
      </c>
      <c r="B39" s="24" t="s">
        <v>218</v>
      </c>
      <c r="C39" s="102">
        <v>16.34</v>
      </c>
      <c r="D39" s="102">
        <v>1.06</v>
      </c>
      <c r="E39" s="102">
        <v>17.4</v>
      </c>
      <c r="F39" s="102">
        <v>6.0919540229885065</v>
      </c>
      <c r="G39" s="103">
        <v>2000</v>
      </c>
      <c r="H39" s="106">
        <v>4.8287884170085</v>
      </c>
      <c r="I39" s="106">
        <v>3.85</v>
      </c>
      <c r="J39" s="106">
        <v>22.729326362975367</v>
      </c>
      <c r="K39" s="106">
        <v>18.5508670806885</v>
      </c>
      <c r="L39" s="106">
        <v>10772.3617072787</v>
      </c>
      <c r="M39" s="106">
        <v>32.85</v>
      </c>
      <c r="N39" s="106">
        <v>1.1064458381546294</v>
      </c>
      <c r="O39" s="106">
        <v>0.11833953418933477</v>
      </c>
      <c r="P39" s="106">
        <v>0.0468132</v>
      </c>
      <c r="Q39" s="106">
        <v>0.1711816</v>
      </c>
      <c r="R39" s="44">
        <v>9</v>
      </c>
      <c r="S39" s="44">
        <v>7</v>
      </c>
    </row>
    <row r="40" spans="1:19" ht="12.75">
      <c r="A40" s="44" t="s">
        <v>560</v>
      </c>
      <c r="B40" s="89" t="s">
        <v>219</v>
      </c>
      <c r="C40" s="102">
        <v>8.9</v>
      </c>
      <c r="D40" s="102">
        <v>1.1</v>
      </c>
      <c r="E40" s="102">
        <v>10</v>
      </c>
      <c r="F40" s="102">
        <v>11</v>
      </c>
      <c r="G40" s="103">
        <v>2002</v>
      </c>
      <c r="H40" s="106">
        <v>3.52254924653295</v>
      </c>
      <c r="I40" s="106">
        <v>3.6512</v>
      </c>
      <c r="J40" s="106">
        <v>15.32932636297537</v>
      </c>
      <c r="K40" s="106">
        <v>6.8188042640686</v>
      </c>
      <c r="L40" s="106">
        <v>7023.13859928628</v>
      </c>
      <c r="M40" s="106">
        <v>31.046</v>
      </c>
      <c r="N40" s="106">
        <v>0.4881596866772717</v>
      </c>
      <c r="O40" s="106">
        <v>0.30687025701674964</v>
      </c>
      <c r="P40" s="106">
        <v>0.17232780000000003</v>
      </c>
      <c r="Q40" s="106">
        <v>0.2372561</v>
      </c>
      <c r="R40" s="44">
        <v>8</v>
      </c>
      <c r="S40" s="44">
        <v>3</v>
      </c>
    </row>
    <row r="41" spans="1:19" ht="12.75">
      <c r="A41" s="44" t="s">
        <v>560</v>
      </c>
      <c r="B41" s="24" t="s">
        <v>220</v>
      </c>
      <c r="C41" s="102">
        <v>7.2</v>
      </c>
      <c r="D41" s="102">
        <v>1.8</v>
      </c>
      <c r="E41" s="102">
        <v>9</v>
      </c>
      <c r="F41" s="102">
        <v>20</v>
      </c>
      <c r="G41" s="103">
        <v>2006</v>
      </c>
      <c r="H41" s="106">
        <v>3.55178513591049</v>
      </c>
      <c r="I41" s="106">
        <v>3.678</v>
      </c>
      <c r="J41" s="106">
        <v>14.32932636297537</v>
      </c>
      <c r="K41" s="106">
        <v>16.7181854248047</v>
      </c>
      <c r="L41" s="106">
        <v>11974.3285589487</v>
      </c>
      <c r="M41" s="106">
        <v>39.93</v>
      </c>
      <c r="N41" s="106">
        <v>-0.8692263167686313</v>
      </c>
      <c r="O41" s="106">
        <v>0.24517</v>
      </c>
      <c r="P41" s="106">
        <v>0.24851979999999996</v>
      </c>
      <c r="Q41" s="106">
        <v>0.439795</v>
      </c>
      <c r="R41" s="44">
        <v>7</v>
      </c>
      <c r="S41" s="44">
        <v>8</v>
      </c>
    </row>
    <row r="42" spans="1:19" ht="12.75">
      <c r="A42" s="44" t="s">
        <v>560</v>
      </c>
      <c r="B42" s="24" t="s">
        <v>276</v>
      </c>
      <c r="C42" s="102">
        <v>12.6</v>
      </c>
      <c r="D42" s="102">
        <v>1.4</v>
      </c>
      <c r="E42" s="102">
        <v>14</v>
      </c>
      <c r="F42" s="102">
        <v>10</v>
      </c>
      <c r="G42" s="103">
        <v>2005</v>
      </c>
      <c r="H42" s="106" t="s">
        <v>193</v>
      </c>
      <c r="I42" s="106" t="s">
        <v>193</v>
      </c>
      <c r="J42" s="106" t="s">
        <v>193</v>
      </c>
      <c r="K42" s="106">
        <v>20.8696117401123</v>
      </c>
      <c r="L42" s="106" t="s">
        <v>193</v>
      </c>
      <c r="M42" s="106" t="s">
        <v>193</v>
      </c>
      <c r="N42" s="106">
        <v>-0.19324870652203327</v>
      </c>
      <c r="O42" s="106" t="e">
        <v>#N/A</v>
      </c>
      <c r="P42" s="106" t="e">
        <v>#N/A</v>
      </c>
      <c r="Q42" s="106" t="e">
        <v>#N/A</v>
      </c>
      <c r="R42" s="44" t="e">
        <v>#N/A</v>
      </c>
      <c r="S42" s="44">
        <v>6</v>
      </c>
    </row>
    <row r="43" spans="1:19" ht="12.75">
      <c r="A43" s="44" t="s">
        <v>560</v>
      </c>
      <c r="B43" s="24" t="s">
        <v>275</v>
      </c>
      <c r="C43" s="102">
        <v>16</v>
      </c>
      <c r="D43" s="102">
        <v>2</v>
      </c>
      <c r="E43" s="102">
        <v>18</v>
      </c>
      <c r="F43" s="102">
        <v>11.11111111111111</v>
      </c>
      <c r="G43" s="103">
        <v>2002</v>
      </c>
      <c r="H43" s="106" t="s">
        <v>193</v>
      </c>
      <c r="I43" s="106" t="s">
        <v>193</v>
      </c>
      <c r="J43" s="106" t="s">
        <v>193</v>
      </c>
      <c r="K43" s="106">
        <v>25.9853019714355</v>
      </c>
      <c r="L43" s="106" t="s">
        <v>193</v>
      </c>
      <c r="M43" s="106" t="s">
        <v>193</v>
      </c>
      <c r="N43" s="106" t="s">
        <v>170</v>
      </c>
      <c r="O43" s="106" t="e">
        <v>#N/A</v>
      </c>
      <c r="P43" s="106" t="e">
        <v>#N/A</v>
      </c>
      <c r="Q43" s="106" t="e">
        <v>#N/A</v>
      </c>
      <c r="R43" s="44" t="e">
        <v>#N/A</v>
      </c>
      <c r="S43" s="44">
        <v>6</v>
      </c>
    </row>
    <row r="44" spans="1:19" ht="12.75">
      <c r="A44" s="44" t="s">
        <v>560</v>
      </c>
      <c r="B44" s="24" t="s">
        <v>221</v>
      </c>
      <c r="C44" s="102">
        <v>9.4</v>
      </c>
      <c r="D44" s="102">
        <v>3.7</v>
      </c>
      <c r="E44" s="102">
        <v>13.1</v>
      </c>
      <c r="F44" s="102">
        <v>28.24427480916031</v>
      </c>
      <c r="G44" s="103">
        <v>2002</v>
      </c>
      <c r="H44" s="106">
        <v>4.34559372171193</v>
      </c>
      <c r="I44" s="106">
        <v>6.0421</v>
      </c>
      <c r="J44" s="106">
        <v>18.429326362975367</v>
      </c>
      <c r="K44" s="106">
        <v>21.0973796844482</v>
      </c>
      <c r="L44" s="106">
        <v>12750.6936703275</v>
      </c>
      <c r="M44" s="106" t="s">
        <v>193</v>
      </c>
      <c r="N44" s="106">
        <v>1.004612245391909</v>
      </c>
      <c r="O44" s="106">
        <v>0.2538959999999998</v>
      </c>
      <c r="P44" s="106">
        <v>0.25512310000000005</v>
      </c>
      <c r="Q44" s="106">
        <v>0.5654664</v>
      </c>
      <c r="R44" s="44">
        <v>9</v>
      </c>
      <c r="S44" s="44" t="s">
        <v>193</v>
      </c>
    </row>
    <row r="45" spans="1:19" ht="12.75">
      <c r="A45" s="44" t="s">
        <v>560</v>
      </c>
      <c r="B45" s="24" t="s">
        <v>222</v>
      </c>
      <c r="C45" s="102">
        <v>1.8</v>
      </c>
      <c r="D45" s="102">
        <v>0.2</v>
      </c>
      <c r="E45" s="102">
        <v>1.9</v>
      </c>
      <c r="F45" s="102">
        <v>10.526315789473685</v>
      </c>
      <c r="G45" s="103">
        <v>1999</v>
      </c>
      <c r="H45" s="106">
        <v>2.77580474019488</v>
      </c>
      <c r="I45" s="106">
        <v>0.9072</v>
      </c>
      <c r="J45" s="106">
        <v>7.229326362975369</v>
      </c>
      <c r="K45" s="106">
        <v>8.598876953125</v>
      </c>
      <c r="L45" s="106">
        <v>989.185989190642</v>
      </c>
      <c r="M45" s="106">
        <v>32.64</v>
      </c>
      <c r="N45" s="106">
        <v>-1.3182709137721222</v>
      </c>
      <c r="O45" s="106">
        <v>0.510718</v>
      </c>
      <c r="P45" s="106">
        <v>0.5473368000000001</v>
      </c>
      <c r="Q45" s="106">
        <v>0.3385717</v>
      </c>
      <c r="R45" s="44">
        <v>2</v>
      </c>
      <c r="S45" s="44" t="s">
        <v>193</v>
      </c>
    </row>
    <row r="46" spans="1:19" ht="12.75">
      <c r="A46" s="44" t="s">
        <v>560</v>
      </c>
      <c r="B46" s="24" t="s">
        <v>223</v>
      </c>
      <c r="C46" s="102">
        <v>7.2</v>
      </c>
      <c r="D46" s="102">
        <v>2.1</v>
      </c>
      <c r="E46" s="102">
        <v>9.3</v>
      </c>
      <c r="F46" s="102">
        <v>22.580645161290327</v>
      </c>
      <c r="G46" s="103">
        <v>2004</v>
      </c>
      <c r="H46" s="106">
        <v>4</v>
      </c>
      <c r="I46" s="106">
        <v>5.5818142567</v>
      </c>
      <c r="J46" s="106">
        <v>14.629326362975371</v>
      </c>
      <c r="K46" s="106">
        <v>13.1879138946533</v>
      </c>
      <c r="L46" s="106">
        <v>7699.04051666698</v>
      </c>
      <c r="M46" s="106">
        <v>43.638</v>
      </c>
      <c r="N46" s="106">
        <v>-0.08760401189393546</v>
      </c>
      <c r="O46" s="106">
        <v>0.32</v>
      </c>
      <c r="P46" s="106">
        <v>0.22163390000000005</v>
      </c>
      <c r="Q46" s="106">
        <v>0.0048609</v>
      </c>
      <c r="R46" s="44">
        <v>8</v>
      </c>
      <c r="S46" s="44">
        <v>3</v>
      </c>
    </row>
    <row r="47" spans="1:19" ht="12.75">
      <c r="A47" s="44" t="s">
        <v>560</v>
      </c>
      <c r="B47" s="24" t="s">
        <v>224</v>
      </c>
      <c r="C47" s="102">
        <v>9.8</v>
      </c>
      <c r="D47" s="102">
        <v>3.2</v>
      </c>
      <c r="E47" s="102">
        <v>13</v>
      </c>
      <c r="F47" s="102">
        <v>24.615384615384617</v>
      </c>
      <c r="G47" s="103">
        <v>2000</v>
      </c>
      <c r="H47" s="106">
        <v>4.1662256811891</v>
      </c>
      <c r="I47" s="106">
        <v>2.871</v>
      </c>
      <c r="J47" s="106">
        <v>18.32932636297537</v>
      </c>
      <c r="K47" s="106">
        <v>20.9184455871582</v>
      </c>
      <c r="L47" s="106">
        <v>4036.73018097128</v>
      </c>
      <c r="M47" s="106">
        <v>28.96</v>
      </c>
      <c r="N47" s="106">
        <v>-0.5212576407373424</v>
      </c>
      <c r="O47" s="106">
        <v>0.47367199999999987</v>
      </c>
      <c r="P47" s="106">
        <v>0.4741077</v>
      </c>
      <c r="Q47" s="106">
        <v>0.6156578</v>
      </c>
      <c r="R47" s="44">
        <v>6</v>
      </c>
      <c r="S47" s="44">
        <v>9</v>
      </c>
    </row>
    <row r="48" spans="1:19" ht="12.75">
      <c r="A48" s="44" t="s">
        <v>560</v>
      </c>
      <c r="B48" s="24" t="s">
        <v>225</v>
      </c>
      <c r="C48" s="102">
        <v>7</v>
      </c>
      <c r="D48" s="102">
        <v>2</v>
      </c>
      <c r="E48" s="102">
        <v>9</v>
      </c>
      <c r="F48" s="102">
        <v>22.22222222222222</v>
      </c>
      <c r="G48" s="103">
        <v>2000</v>
      </c>
      <c r="H48" s="106" t="s">
        <v>193</v>
      </c>
      <c r="I48" s="106">
        <v>2.6042</v>
      </c>
      <c r="J48" s="106" t="s">
        <v>193</v>
      </c>
      <c r="K48" s="106">
        <v>18.6531162261963</v>
      </c>
      <c r="L48" s="106">
        <v>1497.78346381873</v>
      </c>
      <c r="M48" s="106">
        <v>45.35</v>
      </c>
      <c r="N48" s="106">
        <v>-1.6343763527351765</v>
      </c>
      <c r="O48" s="106">
        <v>0.41251399999999994</v>
      </c>
      <c r="P48" s="106">
        <v>0.4119866</v>
      </c>
      <c r="Q48" s="106">
        <v>0.2132638</v>
      </c>
      <c r="R48" s="44">
        <v>0</v>
      </c>
      <c r="S48" s="44" t="s">
        <v>193</v>
      </c>
    </row>
    <row r="49" spans="1:17" s="109" customFormat="1" ht="12.75">
      <c r="A49" s="109" t="s">
        <v>560</v>
      </c>
      <c r="B49" s="110" t="s">
        <v>384</v>
      </c>
      <c r="C49" s="112">
        <f>AVERAGE(C$24:C$48)</f>
        <v>8.042050000000001</v>
      </c>
      <c r="D49" s="112">
        <f aca="true" t="shared" si="4" ref="D49:M49">AVERAGE(D$24:D$48)</f>
        <v>1.9627083333333335</v>
      </c>
      <c r="E49" s="112">
        <f t="shared" si="4"/>
        <v>10.177168</v>
      </c>
      <c r="F49" s="112">
        <f t="shared" si="4"/>
        <v>21.423438845758923</v>
      </c>
      <c r="G49" s="111"/>
      <c r="H49" s="112">
        <f t="shared" si="4"/>
        <v>3.8844857751311346</v>
      </c>
      <c r="I49" s="112">
        <f t="shared" si="4"/>
        <v>3.629172107461905</v>
      </c>
      <c r="J49" s="112">
        <f t="shared" si="4"/>
        <v>14.939589520870106</v>
      </c>
      <c r="K49" s="112">
        <f t="shared" si="4"/>
        <v>16.589376014211897</v>
      </c>
      <c r="L49" s="112">
        <f t="shared" si="4"/>
        <v>6313.57779142789</v>
      </c>
      <c r="M49" s="112">
        <f t="shared" si="4"/>
        <v>32.95595238095239</v>
      </c>
      <c r="N49" s="106"/>
      <c r="O49" s="106"/>
      <c r="P49" s="106"/>
      <c r="Q49" s="106"/>
    </row>
    <row r="50" spans="1:17" s="109" customFormat="1" ht="12.75">
      <c r="A50" s="109" t="s">
        <v>560</v>
      </c>
      <c r="B50" s="110" t="s">
        <v>385</v>
      </c>
      <c r="C50" s="112">
        <f>MEDIAN(C$24:C$48)</f>
        <v>8.2171</v>
      </c>
      <c r="D50" s="112">
        <f aca="true" t="shared" si="5" ref="D50:M50">MEDIAN(D$24:D$48)</f>
        <v>1.75</v>
      </c>
      <c r="E50" s="112">
        <f t="shared" si="5"/>
        <v>10</v>
      </c>
      <c r="F50" s="112">
        <f t="shared" si="5"/>
        <v>18.160136054905564</v>
      </c>
      <c r="G50" s="111"/>
      <c r="H50" s="112">
        <f t="shared" si="5"/>
        <v>4.02015477397718</v>
      </c>
      <c r="I50" s="112">
        <f t="shared" si="5"/>
        <v>3.6512</v>
      </c>
      <c r="J50" s="112">
        <f t="shared" si="5"/>
        <v>15.32932636297537</v>
      </c>
      <c r="K50" s="112">
        <f t="shared" si="5"/>
        <v>18.199161529541</v>
      </c>
      <c r="L50" s="112">
        <f t="shared" si="5"/>
        <v>5651.93790201176</v>
      </c>
      <c r="M50" s="112">
        <f t="shared" si="5"/>
        <v>31.3</v>
      </c>
      <c r="N50" s="106"/>
      <c r="O50" s="106"/>
      <c r="P50" s="106"/>
      <c r="Q50" s="106"/>
    </row>
    <row r="51" spans="1:19" ht="12.75">
      <c r="A51" s="44" t="s">
        <v>562</v>
      </c>
      <c r="B51" s="24" t="s">
        <v>237</v>
      </c>
      <c r="C51" s="102">
        <v>7.7</v>
      </c>
      <c r="D51" s="102">
        <v>1.5</v>
      </c>
      <c r="E51" s="102">
        <v>9.2</v>
      </c>
      <c r="F51" s="102">
        <v>16.304347826086957</v>
      </c>
      <c r="G51" s="103">
        <v>2004</v>
      </c>
      <c r="H51" s="106">
        <v>3.78121082438652</v>
      </c>
      <c r="I51" s="106">
        <v>4.3488</v>
      </c>
      <c r="J51" s="106">
        <v>14.52932636297537</v>
      </c>
      <c r="K51" s="106">
        <v>11.1306295394897</v>
      </c>
      <c r="L51" s="106">
        <v>12825.7694291429</v>
      </c>
      <c r="M51" s="106">
        <v>51.32</v>
      </c>
      <c r="N51" s="106">
        <v>0.32957957146115446</v>
      </c>
      <c r="O51" s="106">
        <v>0.255</v>
      </c>
      <c r="P51" s="106">
        <v>0.06175419999999998</v>
      </c>
      <c r="Q51" s="106">
        <v>0.2236207</v>
      </c>
      <c r="R51" s="44">
        <v>8</v>
      </c>
      <c r="S51" s="44">
        <v>5</v>
      </c>
    </row>
    <row r="52" spans="1:19" ht="12.75">
      <c r="A52" s="44" t="s">
        <v>562</v>
      </c>
      <c r="B52" s="24" t="s">
        <v>238</v>
      </c>
      <c r="C52" s="102">
        <v>6.3</v>
      </c>
      <c r="D52" s="102">
        <v>2</v>
      </c>
      <c r="E52" s="102">
        <v>8.3</v>
      </c>
      <c r="F52" s="102">
        <v>24.096385542168672</v>
      </c>
      <c r="G52" s="103">
        <v>2002</v>
      </c>
      <c r="H52" s="106">
        <v>6.23030815179751</v>
      </c>
      <c r="I52" s="106">
        <v>4.082</v>
      </c>
      <c r="J52" s="106">
        <v>13.629326362975371</v>
      </c>
      <c r="K52" s="106">
        <v>15.9678897857666</v>
      </c>
      <c r="L52" s="106">
        <v>2489.3714437571</v>
      </c>
      <c r="M52" s="106">
        <v>60.05</v>
      </c>
      <c r="N52" s="106">
        <v>0.07647117036224663</v>
      </c>
      <c r="O52" s="106">
        <v>0.7396250600865246</v>
      </c>
      <c r="P52" s="106">
        <v>0.22398189999999996</v>
      </c>
      <c r="Q52" s="106">
        <v>0.2084686</v>
      </c>
      <c r="R52" s="44">
        <v>9</v>
      </c>
      <c r="S52" s="44" t="s">
        <v>193</v>
      </c>
    </row>
    <row r="53" spans="1:19" ht="12.75">
      <c r="A53" s="44" t="s">
        <v>562</v>
      </c>
      <c r="B53" s="24" t="s">
        <v>239</v>
      </c>
      <c r="C53" s="102">
        <v>11.7</v>
      </c>
      <c r="D53" s="102">
        <v>1.4</v>
      </c>
      <c r="E53" s="102">
        <v>13.1</v>
      </c>
      <c r="F53" s="102">
        <v>10.687022900763358</v>
      </c>
      <c r="G53" s="103">
        <v>2004</v>
      </c>
      <c r="H53" s="106">
        <v>4.40448254995245</v>
      </c>
      <c r="I53" s="106">
        <v>4.7608</v>
      </c>
      <c r="J53" s="106">
        <v>18.429326362975367</v>
      </c>
      <c r="K53" s="106">
        <v>19.2265968322754</v>
      </c>
      <c r="L53" s="106">
        <v>8206.38367748721</v>
      </c>
      <c r="M53" s="106">
        <v>56.99</v>
      </c>
      <c r="N53" s="106">
        <v>0.31281376796423993</v>
      </c>
      <c r="O53" s="106">
        <v>0.540836</v>
      </c>
      <c r="P53" s="106">
        <v>0.04684429999999995</v>
      </c>
      <c r="Q53" s="106">
        <v>0.6054302</v>
      </c>
      <c r="R53" s="44">
        <v>8</v>
      </c>
      <c r="S53" s="44">
        <v>6</v>
      </c>
    </row>
    <row r="54" spans="1:19" ht="12.75">
      <c r="A54" s="44" t="s">
        <v>562</v>
      </c>
      <c r="B54" s="24" t="s">
        <v>240</v>
      </c>
      <c r="C54" s="102">
        <v>6.9</v>
      </c>
      <c r="D54" s="102">
        <v>0.7</v>
      </c>
      <c r="E54" s="102">
        <v>7.6</v>
      </c>
      <c r="F54" s="102">
        <v>9.210526315789473</v>
      </c>
      <c r="G54" s="103">
        <v>2003</v>
      </c>
      <c r="H54" s="106">
        <v>4.06814587215566</v>
      </c>
      <c r="I54" s="106">
        <v>2.898</v>
      </c>
      <c r="J54" s="106">
        <v>12.92932636297537</v>
      </c>
      <c r="K54" s="106">
        <v>12.0145578384399</v>
      </c>
      <c r="L54" s="106">
        <v>10297.7856199113</v>
      </c>
      <c r="M54" s="106">
        <v>54.92</v>
      </c>
      <c r="N54" s="106">
        <v>1.093647145118666</v>
      </c>
      <c r="O54" s="106">
        <v>0.18614599999999992</v>
      </c>
      <c r="P54" s="106">
        <v>0.18707609999999997</v>
      </c>
      <c r="Q54" s="106">
        <v>0.3841057</v>
      </c>
      <c r="R54" s="44">
        <v>9</v>
      </c>
      <c r="S54" s="44">
        <v>3</v>
      </c>
    </row>
    <row r="55" spans="1:19" ht="12.75">
      <c r="A55" s="44" t="s">
        <v>562</v>
      </c>
      <c r="B55" s="44" t="s">
        <v>241</v>
      </c>
      <c r="C55" s="102">
        <v>5.9</v>
      </c>
      <c r="D55" s="102">
        <v>0.6</v>
      </c>
      <c r="E55" s="102">
        <v>6.5</v>
      </c>
      <c r="F55" s="102">
        <v>9.23076923076923</v>
      </c>
      <c r="G55" s="103">
        <v>2004</v>
      </c>
      <c r="H55" s="106">
        <v>4.93491720776597</v>
      </c>
      <c r="I55" s="106">
        <v>6.708</v>
      </c>
      <c r="J55" s="106">
        <v>11.82932636297537</v>
      </c>
      <c r="K55" s="106">
        <v>18.8142242431641</v>
      </c>
      <c r="L55" s="106">
        <v>6906.11437929784</v>
      </c>
      <c r="M55" s="106">
        <v>58.622</v>
      </c>
      <c r="N55" s="106">
        <v>-0.33969292839539683</v>
      </c>
      <c r="O55" s="106">
        <v>0.6014</v>
      </c>
      <c r="P55" s="106">
        <v>0.019268199999999958</v>
      </c>
      <c r="Q55" s="106">
        <v>0.1478351</v>
      </c>
      <c r="R55" s="44">
        <v>7</v>
      </c>
      <c r="S55" s="44">
        <v>7</v>
      </c>
    </row>
    <row r="56" spans="1:19" ht="12.75">
      <c r="A56" s="44" t="s">
        <v>562</v>
      </c>
      <c r="B56" s="44" t="s">
        <v>242</v>
      </c>
      <c r="C56" s="102">
        <v>4.3</v>
      </c>
      <c r="D56" s="102">
        <v>1.5</v>
      </c>
      <c r="E56" s="102">
        <v>5.8</v>
      </c>
      <c r="F56" s="102">
        <v>25.862068965517242</v>
      </c>
      <c r="G56" s="103">
        <v>2004</v>
      </c>
      <c r="H56" s="106">
        <v>4.9211853424862</v>
      </c>
      <c r="I56" s="106">
        <v>5.082</v>
      </c>
      <c r="J56" s="106">
        <v>11.12932636297537</v>
      </c>
      <c r="K56" s="106">
        <v>14.1325950622559</v>
      </c>
      <c r="L56" s="106">
        <v>9503.88108931627</v>
      </c>
      <c r="M56" s="106">
        <v>49.755</v>
      </c>
      <c r="N56" s="106">
        <v>1.0447585984613073</v>
      </c>
      <c r="O56" s="106">
        <v>0.2368</v>
      </c>
      <c r="P56" s="106">
        <v>0.048911600000000055</v>
      </c>
      <c r="Q56" s="106">
        <v>0.2409582</v>
      </c>
      <c r="R56" s="44">
        <v>10</v>
      </c>
      <c r="S56" s="44" t="s">
        <v>193</v>
      </c>
    </row>
    <row r="57" spans="1:19" ht="12.75">
      <c r="A57" s="44" t="s">
        <v>562</v>
      </c>
      <c r="B57" s="44" t="s">
        <v>243</v>
      </c>
      <c r="C57" s="102">
        <v>3.41</v>
      </c>
      <c r="D57" s="102">
        <v>2.15</v>
      </c>
      <c r="E57" s="102">
        <v>5.56</v>
      </c>
      <c r="F57" s="102">
        <v>38.66906474820144</v>
      </c>
      <c r="G57" s="103">
        <v>2000</v>
      </c>
      <c r="H57" s="106">
        <v>4.99418816430469</v>
      </c>
      <c r="I57" s="106">
        <v>4.5632</v>
      </c>
      <c r="J57" s="106">
        <v>10.88932636297537</v>
      </c>
      <c r="K57" s="106">
        <v>21.1565780639648</v>
      </c>
      <c r="L57" s="106">
        <v>5676.58950834537</v>
      </c>
      <c r="M57" s="106" t="s">
        <v>193</v>
      </c>
      <c r="N57" s="106">
        <v>1.046909495553614</v>
      </c>
      <c r="O57" s="106">
        <v>0.20026200000000016</v>
      </c>
      <c r="P57" s="106" t="s">
        <v>175</v>
      </c>
      <c r="Q57" s="106">
        <v>0.4628099</v>
      </c>
      <c r="R57" s="44" t="e">
        <v>#N/A</v>
      </c>
      <c r="S57" s="44" t="s">
        <v>193</v>
      </c>
    </row>
    <row r="58" spans="1:19" ht="12.75">
      <c r="A58" s="44" t="s">
        <v>562</v>
      </c>
      <c r="B58" s="44" t="s">
        <v>244</v>
      </c>
      <c r="C58" s="102">
        <v>0.7</v>
      </c>
      <c r="D58" s="102">
        <v>1.7</v>
      </c>
      <c r="E58" s="102">
        <v>2.4</v>
      </c>
      <c r="F58" s="102">
        <v>70.83333333333334</v>
      </c>
      <c r="G58" s="103">
        <v>2004</v>
      </c>
      <c r="H58" s="106">
        <v>1.15726257749033</v>
      </c>
      <c r="I58" s="106">
        <v>1.896</v>
      </c>
      <c r="J58" s="106">
        <v>7.729326362975369</v>
      </c>
      <c r="K58" s="106">
        <v>8.72616863250732</v>
      </c>
      <c r="L58" s="106">
        <v>7084.28530934992</v>
      </c>
      <c r="M58" s="106">
        <v>51.64</v>
      </c>
      <c r="N58" s="106">
        <v>0.12842913749608986</v>
      </c>
      <c r="O58" s="106">
        <v>0.4294000000000001</v>
      </c>
      <c r="P58" s="106">
        <v>0.03947290000000003</v>
      </c>
      <c r="Q58" s="106">
        <v>0.3118443</v>
      </c>
      <c r="R58" s="44">
        <v>8</v>
      </c>
      <c r="S58" s="44">
        <v>9</v>
      </c>
    </row>
    <row r="59" spans="1:19" ht="12.75">
      <c r="A59" s="44" t="s">
        <v>562</v>
      </c>
      <c r="B59" s="24" t="s">
        <v>245</v>
      </c>
      <c r="C59" s="102">
        <v>1.8</v>
      </c>
      <c r="D59" s="102">
        <v>1.1</v>
      </c>
      <c r="E59" s="102">
        <v>2.9</v>
      </c>
      <c r="F59" s="102">
        <v>37.931034482758626</v>
      </c>
      <c r="G59" s="103">
        <v>2004</v>
      </c>
      <c r="H59" s="106">
        <v>0.97882348813996</v>
      </c>
      <c r="I59" s="106">
        <v>2.2385</v>
      </c>
      <c r="J59" s="106">
        <v>8.22932636297537</v>
      </c>
      <c r="K59" s="106">
        <v>11.3871154785156</v>
      </c>
      <c r="L59" s="106">
        <v>4082.55477526584</v>
      </c>
      <c r="M59" s="106" t="s">
        <v>193</v>
      </c>
      <c r="N59" s="106">
        <v>-0.22459636159736904</v>
      </c>
      <c r="O59" s="106">
        <v>0.655</v>
      </c>
      <c r="P59" s="106">
        <v>0.13081160000000003</v>
      </c>
      <c r="Q59" s="106">
        <v>0.1417125</v>
      </c>
      <c r="R59" s="44">
        <v>6</v>
      </c>
      <c r="S59" s="44" t="s">
        <v>193</v>
      </c>
    </row>
    <row r="60" spans="1:19" ht="12.75">
      <c r="A60" s="44" t="s">
        <v>562</v>
      </c>
      <c r="B60" s="44" t="s">
        <v>127</v>
      </c>
      <c r="C60" s="102">
        <v>4.2</v>
      </c>
      <c r="D60" s="102">
        <v>1</v>
      </c>
      <c r="E60" s="102">
        <v>5.2</v>
      </c>
      <c r="F60" s="102">
        <v>19.23076923076923</v>
      </c>
      <c r="G60" s="103">
        <v>2000</v>
      </c>
      <c r="H60" s="106">
        <v>2.54707979343304</v>
      </c>
      <c r="I60" s="106">
        <v>3.6</v>
      </c>
      <c r="J60" s="106">
        <v>10.52932636297537</v>
      </c>
      <c r="K60" s="106">
        <v>10.17160987854</v>
      </c>
      <c r="L60" s="106">
        <v>4596.74290215997</v>
      </c>
      <c r="M60" s="106">
        <v>51.92</v>
      </c>
      <c r="N60" s="106">
        <v>-0.07568459781618081</v>
      </c>
      <c r="O60" s="106">
        <v>0.19779999999999998</v>
      </c>
      <c r="P60" s="106" t="s">
        <v>175</v>
      </c>
      <c r="Q60" s="106">
        <v>0.3558834</v>
      </c>
      <c r="R60" s="44">
        <v>7</v>
      </c>
      <c r="S60" s="44">
        <v>8</v>
      </c>
    </row>
    <row r="61" spans="1:19" ht="12.75">
      <c r="A61" s="44" t="s">
        <v>562</v>
      </c>
      <c r="B61" s="24" t="s">
        <v>246</v>
      </c>
      <c r="C61" s="102">
        <v>1.8</v>
      </c>
      <c r="D61" s="102">
        <v>1.6</v>
      </c>
      <c r="E61" s="102">
        <v>3.4</v>
      </c>
      <c r="F61" s="102">
        <v>47.05882352941177</v>
      </c>
      <c r="G61" s="103">
        <v>2001</v>
      </c>
      <c r="H61" s="106">
        <v>5.20678307958058</v>
      </c>
      <c r="I61" s="106">
        <v>5.9204</v>
      </c>
      <c r="J61" s="106">
        <v>8.72932636297537</v>
      </c>
      <c r="K61" s="106">
        <v>17.2863788604736</v>
      </c>
      <c r="L61" s="106">
        <v>7039.11683853372</v>
      </c>
      <c r="M61" s="106" t="s">
        <v>193</v>
      </c>
      <c r="N61" s="106">
        <v>0.6117400890787339</v>
      </c>
      <c r="O61" s="106">
        <v>0.26613399999999987</v>
      </c>
      <c r="P61" s="106" t="s">
        <v>175</v>
      </c>
      <c r="Q61" s="106">
        <v>0.5897732</v>
      </c>
      <c r="R61" s="44" t="e">
        <v>#N/A</v>
      </c>
      <c r="S61" s="44" t="s">
        <v>193</v>
      </c>
    </row>
    <row r="62" spans="1:19" ht="12.75">
      <c r="A62" s="44" t="s">
        <v>562</v>
      </c>
      <c r="B62" s="44" t="s">
        <v>247</v>
      </c>
      <c r="C62" s="102">
        <v>0.7</v>
      </c>
      <c r="D62" s="102">
        <v>1.1</v>
      </c>
      <c r="E62" s="102">
        <v>1.8</v>
      </c>
      <c r="F62" s="102">
        <v>61.111111111111114</v>
      </c>
      <c r="G62" s="103">
        <v>2000</v>
      </c>
      <c r="H62" s="106" t="s">
        <v>193</v>
      </c>
      <c r="I62" s="106">
        <v>2.189</v>
      </c>
      <c r="J62" s="106" t="s">
        <v>193</v>
      </c>
      <c r="K62" s="106">
        <v>7.00261497497559</v>
      </c>
      <c r="L62" s="106">
        <v>4048.29632014157</v>
      </c>
      <c r="M62" s="106">
        <v>54.97</v>
      </c>
      <c r="N62" s="106">
        <v>-0.3430414350554414</v>
      </c>
      <c r="O62" s="106">
        <v>0.5122</v>
      </c>
      <c r="P62" s="106">
        <v>0.45859269999999996</v>
      </c>
      <c r="Q62" s="106">
        <v>0.3753242</v>
      </c>
      <c r="R62" s="44">
        <v>8</v>
      </c>
      <c r="S62" s="44" t="s">
        <v>193</v>
      </c>
    </row>
    <row r="63" spans="1:19" ht="12.75">
      <c r="A63" s="44" t="s">
        <v>562</v>
      </c>
      <c r="B63" s="44" t="s">
        <v>248</v>
      </c>
      <c r="C63" s="102" t="s">
        <v>193</v>
      </c>
      <c r="D63" s="102" t="s">
        <v>193</v>
      </c>
      <c r="E63" s="102">
        <v>2</v>
      </c>
      <c r="F63" s="102" t="s">
        <v>193</v>
      </c>
      <c r="G63" s="103">
        <v>2000</v>
      </c>
      <c r="H63" s="106">
        <v>8.48492826103308</v>
      </c>
      <c r="I63" s="106">
        <v>4.6475</v>
      </c>
      <c r="J63" s="106">
        <v>7.329326362975371</v>
      </c>
      <c r="K63" s="106">
        <v>24.6721057891846</v>
      </c>
      <c r="L63" s="106">
        <v>3922.38638668661</v>
      </c>
      <c r="M63" s="106">
        <v>43.2</v>
      </c>
      <c r="N63" s="106">
        <v>0.5486527171658299</v>
      </c>
      <c r="O63" s="106">
        <v>0.6194979999999999</v>
      </c>
      <c r="P63" s="106">
        <v>0.06880359999999996</v>
      </c>
      <c r="Q63" s="106">
        <v>0.7875918</v>
      </c>
      <c r="R63" s="44">
        <v>6</v>
      </c>
      <c r="S63" s="44" t="s">
        <v>193</v>
      </c>
    </row>
    <row r="64" spans="1:19" ht="12.75">
      <c r="A64" s="44" t="s">
        <v>562</v>
      </c>
      <c r="B64" s="44" t="s">
        <v>249</v>
      </c>
      <c r="C64" s="102">
        <v>1.6</v>
      </c>
      <c r="D64" s="102">
        <v>2.5</v>
      </c>
      <c r="E64" s="102">
        <v>4.1</v>
      </c>
      <c r="F64" s="102">
        <v>60.97560975609757</v>
      </c>
      <c r="G64" s="103">
        <v>1999</v>
      </c>
      <c r="H64" s="106" t="s">
        <v>193</v>
      </c>
      <c r="I64" s="106">
        <v>3.5776</v>
      </c>
      <c r="J64" s="106" t="s">
        <v>193</v>
      </c>
      <c r="K64" s="106">
        <v>11.3183565139771</v>
      </c>
      <c r="L64" s="106">
        <v>2725.18922961544</v>
      </c>
      <c r="M64" s="106">
        <v>56.24</v>
      </c>
      <c r="N64" s="106">
        <v>-0.17511534872224516</v>
      </c>
      <c r="O64" s="106">
        <v>0.18669999999999998</v>
      </c>
      <c r="P64" s="106">
        <v>0.05528900000000003</v>
      </c>
      <c r="Q64" s="106">
        <v>0.2357165</v>
      </c>
      <c r="R64" s="44">
        <v>7</v>
      </c>
      <c r="S64" s="44" t="s">
        <v>193</v>
      </c>
    </row>
    <row r="65" spans="1:19" ht="12.75">
      <c r="A65" s="44" t="s">
        <v>562</v>
      </c>
      <c r="B65" s="24" t="s">
        <v>250</v>
      </c>
      <c r="C65" s="102">
        <v>1.01</v>
      </c>
      <c r="D65" s="102">
        <v>0.76</v>
      </c>
      <c r="E65" s="102">
        <v>1.77</v>
      </c>
      <c r="F65" s="102">
        <v>42.93785310734463</v>
      </c>
      <c r="G65" s="103">
        <v>2005</v>
      </c>
      <c r="H65" s="106">
        <v>5.28964376120452</v>
      </c>
      <c r="I65" s="106">
        <v>2.8236</v>
      </c>
      <c r="J65" s="106">
        <v>7.09932636297537</v>
      </c>
      <c r="K65" s="106">
        <v>15.1161613464355</v>
      </c>
      <c r="L65" s="106">
        <v>4292.51924791356</v>
      </c>
      <c r="M65" s="106">
        <v>45.508</v>
      </c>
      <c r="N65" s="106">
        <v>0.43784532243847235</v>
      </c>
      <c r="O65" s="106">
        <v>0.4128940000000001</v>
      </c>
      <c r="P65" s="106">
        <v>0.10980460000000003</v>
      </c>
      <c r="Q65" s="106">
        <v>0.6159606</v>
      </c>
      <c r="R65" s="44">
        <v>9</v>
      </c>
      <c r="S65" s="44" t="s">
        <v>193</v>
      </c>
    </row>
    <row r="66" spans="1:19" ht="12.75">
      <c r="A66" s="44" t="s">
        <v>562</v>
      </c>
      <c r="B66" s="44" t="s">
        <v>251</v>
      </c>
      <c r="C66" s="102">
        <v>2.6</v>
      </c>
      <c r="D66" s="102">
        <v>1</v>
      </c>
      <c r="E66" s="102">
        <v>3.5</v>
      </c>
      <c r="F66" s="102">
        <v>28.57142857142857</v>
      </c>
      <c r="G66" s="103">
        <v>2002</v>
      </c>
      <c r="H66" s="106">
        <v>5.29938345224888</v>
      </c>
      <c r="I66" s="106">
        <v>2.7218</v>
      </c>
      <c r="J66" s="106">
        <v>8.82932636297537</v>
      </c>
      <c r="K66" s="106">
        <v>12.1239643096924</v>
      </c>
      <c r="L66" s="106">
        <v>9518.06460669489</v>
      </c>
      <c r="M66" s="106">
        <v>49.68</v>
      </c>
      <c r="N66" s="106">
        <v>0.2541081641039466</v>
      </c>
      <c r="O66" s="106">
        <v>0.5418000000000001</v>
      </c>
      <c r="P66" s="106">
        <v>0.151119</v>
      </c>
      <c r="Q66" s="106">
        <v>0.1795571</v>
      </c>
      <c r="R66" s="44">
        <v>8</v>
      </c>
      <c r="S66" s="44">
        <v>5</v>
      </c>
    </row>
    <row r="67" spans="1:19" ht="12.75">
      <c r="A67" s="44" t="s">
        <v>562</v>
      </c>
      <c r="B67" s="44" t="s">
        <v>252</v>
      </c>
      <c r="C67" s="102">
        <v>5.4</v>
      </c>
      <c r="D67" s="102">
        <v>1.1</v>
      </c>
      <c r="E67" s="102">
        <v>6.5</v>
      </c>
      <c r="F67" s="102">
        <v>16.923076923076923</v>
      </c>
      <c r="G67" s="103">
        <v>2000</v>
      </c>
      <c r="H67" s="106">
        <v>3.89453891688052</v>
      </c>
      <c r="I67" s="106">
        <v>3.7275</v>
      </c>
      <c r="J67" s="106">
        <v>11.82932636297537</v>
      </c>
      <c r="K67" s="106">
        <v>12.2395496368408</v>
      </c>
      <c r="L67" s="106">
        <v>3131.34072546117</v>
      </c>
      <c r="M67" s="106">
        <v>43.11</v>
      </c>
      <c r="N67" s="106">
        <v>-0.03917535293542797</v>
      </c>
      <c r="O67" s="106">
        <v>0.48440000000000016</v>
      </c>
      <c r="P67" s="106">
        <v>0.04731810000000003</v>
      </c>
      <c r="Q67" s="106">
        <v>0.4290265</v>
      </c>
      <c r="R67" s="44">
        <v>8</v>
      </c>
      <c r="S67" s="44" t="s">
        <v>193</v>
      </c>
    </row>
    <row r="68" spans="1:19" ht="12.75">
      <c r="A68" s="44" t="s">
        <v>562</v>
      </c>
      <c r="B68" s="24" t="s">
        <v>253</v>
      </c>
      <c r="C68" s="102">
        <v>5</v>
      </c>
      <c r="D68" s="102">
        <v>1.7</v>
      </c>
      <c r="E68" s="102">
        <v>6.7</v>
      </c>
      <c r="F68" s="102">
        <v>25.37313432835821</v>
      </c>
      <c r="G68" s="103">
        <v>2005</v>
      </c>
      <c r="H68" s="106">
        <v>3.78258035987464</v>
      </c>
      <c r="I68" s="106">
        <v>5.1513</v>
      </c>
      <c r="J68" s="106">
        <v>12.02932636297537</v>
      </c>
      <c r="K68" s="106">
        <v>13.1354427337646</v>
      </c>
      <c r="L68" s="106">
        <v>7643.8598105469</v>
      </c>
      <c r="M68" s="106">
        <v>56.08</v>
      </c>
      <c r="N68" s="106">
        <v>0.41501167880271145</v>
      </c>
      <c r="O68" s="106">
        <v>0.5528</v>
      </c>
      <c r="P68" s="106">
        <v>0.3873154</v>
      </c>
      <c r="Q68" s="106">
        <v>0.3337609</v>
      </c>
      <c r="R68" s="44">
        <v>9</v>
      </c>
      <c r="S68" s="44" t="s">
        <v>193</v>
      </c>
    </row>
    <row r="69" spans="1:19" ht="12.75">
      <c r="A69" s="44" t="s">
        <v>562</v>
      </c>
      <c r="B69" s="24" t="s">
        <v>128</v>
      </c>
      <c r="C69" s="102">
        <v>1.84</v>
      </c>
      <c r="D69" s="102">
        <v>0.4</v>
      </c>
      <c r="E69" s="102">
        <v>2.24</v>
      </c>
      <c r="F69" s="102">
        <v>17.857142857142858</v>
      </c>
      <c r="G69" s="103">
        <v>2000</v>
      </c>
      <c r="H69" s="106">
        <v>4.85138001498964</v>
      </c>
      <c r="I69" s="106">
        <v>3.3768</v>
      </c>
      <c r="J69" s="106">
        <v>7.569326362975371</v>
      </c>
      <c r="K69" s="106">
        <v>12.7125215530396</v>
      </c>
      <c r="L69" s="106">
        <v>4165.31274669712</v>
      </c>
      <c r="M69" s="106">
        <v>56.85</v>
      </c>
      <c r="N69" s="106">
        <v>-0.5609108403823927</v>
      </c>
      <c r="O69" s="106">
        <v>0.16889999999999994</v>
      </c>
      <c r="P69" s="106">
        <v>0.5975007999999999</v>
      </c>
      <c r="Q69" s="106">
        <v>0.2122512</v>
      </c>
      <c r="R69" s="44">
        <v>7</v>
      </c>
      <c r="S69" s="44" t="s">
        <v>193</v>
      </c>
    </row>
    <row r="70" spans="1:19" ht="12.75">
      <c r="A70" s="44" t="s">
        <v>562</v>
      </c>
      <c r="B70" s="24" t="s">
        <v>254</v>
      </c>
      <c r="C70" s="102">
        <v>3.18</v>
      </c>
      <c r="D70" s="102">
        <v>0.71</v>
      </c>
      <c r="E70" s="102">
        <v>3.89</v>
      </c>
      <c r="F70" s="102">
        <v>18.25192802056555</v>
      </c>
      <c r="G70" s="103">
        <v>2005</v>
      </c>
      <c r="H70" s="106">
        <v>2.38853418666102</v>
      </c>
      <c r="I70" s="106">
        <v>1.9229</v>
      </c>
      <c r="J70" s="106">
        <v>9.21932636297537</v>
      </c>
      <c r="K70" s="106">
        <v>10.0995197296143</v>
      </c>
      <c r="L70" s="106">
        <v>6041.97841053303</v>
      </c>
      <c r="M70" s="106">
        <v>52.02</v>
      </c>
      <c r="N70" s="106">
        <v>0.025587165989914746</v>
      </c>
      <c r="O70" s="106">
        <v>0.656577</v>
      </c>
      <c r="P70" s="106">
        <v>0.3358169</v>
      </c>
      <c r="Q70" s="106">
        <v>0.1987815</v>
      </c>
      <c r="R70" s="44">
        <v>9</v>
      </c>
      <c r="S70" s="44">
        <v>8</v>
      </c>
    </row>
    <row r="71" spans="1:19" ht="12.75">
      <c r="A71" s="44" t="s">
        <v>562</v>
      </c>
      <c r="B71" s="89" t="s">
        <v>256</v>
      </c>
      <c r="C71" s="102">
        <v>2.7</v>
      </c>
      <c r="D71" s="102">
        <v>1</v>
      </c>
      <c r="E71" s="102">
        <v>3.7</v>
      </c>
      <c r="F71" s="102">
        <v>27.027027027027025</v>
      </c>
      <c r="G71" s="103">
        <v>2000</v>
      </c>
      <c r="H71" s="106">
        <v>6.36610832260314</v>
      </c>
      <c r="I71" s="106">
        <v>3.5672</v>
      </c>
      <c r="J71" s="106">
        <v>9.02932636297537</v>
      </c>
      <c r="K71" s="106">
        <v>21.1284236907959</v>
      </c>
      <c r="L71" s="106">
        <v>11132.205476623</v>
      </c>
      <c r="M71" s="106" t="s">
        <v>193</v>
      </c>
      <c r="N71" s="106">
        <v>0.9588024367719197</v>
      </c>
      <c r="O71" s="106">
        <v>0.18419999999999992</v>
      </c>
      <c r="P71" s="106" t="s">
        <v>175</v>
      </c>
      <c r="Q71" s="106">
        <v>0.6614069</v>
      </c>
      <c r="R71" s="44" t="e">
        <v>#N/A</v>
      </c>
      <c r="S71" s="44" t="s">
        <v>193</v>
      </c>
    </row>
    <row r="72" spans="1:19" ht="12.75">
      <c r="A72" s="44" t="s">
        <v>562</v>
      </c>
      <c r="B72" s="24" t="s">
        <v>255</v>
      </c>
      <c r="C72" s="102">
        <v>0.6</v>
      </c>
      <c r="D72" s="102">
        <v>2</v>
      </c>
      <c r="E72" s="102">
        <v>2.6</v>
      </c>
      <c r="F72" s="102">
        <v>76.92307692307692</v>
      </c>
      <c r="G72" s="103">
        <v>2000</v>
      </c>
      <c r="H72" s="106">
        <v>7.54090239829994</v>
      </c>
      <c r="I72" s="106">
        <v>3.3323</v>
      </c>
      <c r="J72" s="106">
        <v>7.92932636297537</v>
      </c>
      <c r="K72" s="106">
        <v>23.2427825927734</v>
      </c>
      <c r="L72" s="106">
        <v>5897.00449648663</v>
      </c>
      <c r="M72" s="106" t="s">
        <v>193</v>
      </c>
      <c r="N72" s="106">
        <v>1.0124851266771262</v>
      </c>
      <c r="O72" s="106">
        <v>0.17686200000000007</v>
      </c>
      <c r="P72" s="106">
        <v>0.3169297</v>
      </c>
      <c r="Q72" s="106">
        <v>0.3320216</v>
      </c>
      <c r="R72" s="44" t="e">
        <v>#N/A</v>
      </c>
      <c r="S72" s="44" t="s">
        <v>193</v>
      </c>
    </row>
    <row r="73" spans="1:19" ht="12.75">
      <c r="A73" s="44" t="s">
        <v>562</v>
      </c>
      <c r="B73" s="24" t="s">
        <v>524</v>
      </c>
      <c r="C73" s="102">
        <v>1.2816</v>
      </c>
      <c r="D73" s="102">
        <v>2.3184</v>
      </c>
      <c r="E73" s="102">
        <v>3.6</v>
      </c>
      <c r="F73" s="102">
        <v>64.4</v>
      </c>
      <c r="G73" s="103">
        <v>2002</v>
      </c>
      <c r="H73" s="106">
        <v>9.85789837892604</v>
      </c>
      <c r="I73" s="106">
        <v>4.0748</v>
      </c>
      <c r="J73" s="106">
        <v>8.92932636297537</v>
      </c>
      <c r="K73" s="106">
        <v>20.9726448059082</v>
      </c>
      <c r="L73" s="106">
        <v>5469.93031014945</v>
      </c>
      <c r="M73" s="106" t="s">
        <v>193</v>
      </c>
      <c r="N73" s="106">
        <v>0.9736955910819424</v>
      </c>
      <c r="O73" s="106">
        <v>0.30659800000000004</v>
      </c>
      <c r="P73" s="106">
        <v>0.017542500000000016</v>
      </c>
      <c r="Q73" s="106">
        <v>0.7027959</v>
      </c>
      <c r="R73" s="44" t="e">
        <v>#N/A</v>
      </c>
      <c r="S73" s="44" t="s">
        <v>193</v>
      </c>
    </row>
    <row r="74" spans="1:19" ht="12.75">
      <c r="A74" s="44" t="s">
        <v>562</v>
      </c>
      <c r="B74" s="44" t="s">
        <v>257</v>
      </c>
      <c r="C74" s="102">
        <v>9.6</v>
      </c>
      <c r="D74" s="102">
        <v>0.5</v>
      </c>
      <c r="E74" s="102">
        <v>10.1</v>
      </c>
      <c r="F74" s="102">
        <v>4.9504950495049505</v>
      </c>
      <c r="G74" s="103">
        <v>2005</v>
      </c>
      <c r="H74" s="106">
        <v>2.5887174483891</v>
      </c>
      <c r="I74" s="106">
        <v>3.567</v>
      </c>
      <c r="J74" s="106">
        <v>15.42932636297537</v>
      </c>
      <c r="K74" s="106">
        <v>11.2864799499512</v>
      </c>
      <c r="L74" s="106">
        <v>10419.1355445793</v>
      </c>
      <c r="M74" s="106">
        <v>44.855</v>
      </c>
      <c r="N74" s="106">
        <v>0.9084532781551837</v>
      </c>
      <c r="O74" s="106">
        <v>0.25040000000000007</v>
      </c>
      <c r="P74" s="106">
        <v>0.08172230000000003</v>
      </c>
      <c r="Q74" s="106">
        <v>0.3548297</v>
      </c>
      <c r="R74" s="44">
        <v>10</v>
      </c>
      <c r="S74" s="44">
        <v>5</v>
      </c>
    </row>
    <row r="75" spans="1:19" ht="12.75">
      <c r="A75" s="44" t="s">
        <v>562</v>
      </c>
      <c r="B75" s="24" t="s">
        <v>534</v>
      </c>
      <c r="C75" s="102">
        <v>1.07</v>
      </c>
      <c r="D75" s="102">
        <v>0.64</v>
      </c>
      <c r="E75" s="102">
        <v>1.71</v>
      </c>
      <c r="F75" s="102">
        <v>37.42690058479533</v>
      </c>
      <c r="G75" s="103">
        <v>1998</v>
      </c>
      <c r="H75" s="106" t="s">
        <v>193</v>
      </c>
      <c r="I75" s="106">
        <v>3.3728</v>
      </c>
      <c r="J75" s="106" t="s">
        <v>193</v>
      </c>
      <c r="K75" s="106">
        <v>13.4677152633667</v>
      </c>
      <c r="L75" s="106">
        <v>5916.67484006095</v>
      </c>
      <c r="M75" s="106">
        <v>49.53</v>
      </c>
      <c r="N75" s="106">
        <v>0.07332615847220178</v>
      </c>
      <c r="O75" s="106">
        <v>0.49660000000000004</v>
      </c>
      <c r="P75" s="106">
        <v>0.06858010000000003</v>
      </c>
      <c r="Q75" s="106">
        <v>0.1350304</v>
      </c>
      <c r="R75" s="44">
        <v>8</v>
      </c>
      <c r="S75" s="44">
        <v>6</v>
      </c>
    </row>
    <row r="76" spans="1:17" s="109" customFormat="1" ht="12.75">
      <c r="A76" s="109" t="s">
        <v>562</v>
      </c>
      <c r="B76" s="110" t="s">
        <v>386</v>
      </c>
      <c r="C76" s="112">
        <f>AVERAGE(C$51:C$75)</f>
        <v>3.803816666666666</v>
      </c>
      <c r="D76" s="112">
        <f aca="true" t="shared" si="6" ref="D76:M76">AVERAGE(D$51:D$75)</f>
        <v>1.2907666666666666</v>
      </c>
      <c r="E76" s="112">
        <f t="shared" si="6"/>
        <v>4.966799999999999</v>
      </c>
      <c r="F76" s="112">
        <f t="shared" si="6"/>
        <v>32.99345543187912</v>
      </c>
      <c r="G76" s="111"/>
      <c r="H76" s="112">
        <f t="shared" si="6"/>
        <v>4.707681934209247</v>
      </c>
      <c r="I76" s="112">
        <f t="shared" si="6"/>
        <v>3.7659920000000007</v>
      </c>
      <c r="J76" s="112">
        <f t="shared" si="6"/>
        <v>10.627508181157188</v>
      </c>
      <c r="K76" s="112">
        <f t="shared" si="6"/>
        <v>14.741305084228511</v>
      </c>
      <c r="L76" s="112">
        <f t="shared" si="6"/>
        <v>6521.299724990281</v>
      </c>
      <c r="M76" s="112">
        <f t="shared" si="6"/>
        <v>51.96105263157895</v>
      </c>
      <c r="N76" s="106"/>
      <c r="O76" s="106"/>
      <c r="P76" s="106"/>
      <c r="Q76" s="106"/>
    </row>
    <row r="77" spans="1:17" s="109" customFormat="1" ht="12.75">
      <c r="A77" s="109" t="s">
        <v>562</v>
      </c>
      <c r="B77" s="110" t="s">
        <v>387</v>
      </c>
      <c r="C77" s="112">
        <f>MEDIAN(C$51:C$75)</f>
        <v>2.9400000000000004</v>
      </c>
      <c r="D77" s="112">
        <f aca="true" t="shared" si="7" ref="D77:M77">MEDIAN(D$51:D$75)</f>
        <v>1.1</v>
      </c>
      <c r="E77" s="112">
        <f t="shared" si="7"/>
        <v>3.89</v>
      </c>
      <c r="F77" s="112">
        <f t="shared" si="7"/>
        <v>26.444547996272135</v>
      </c>
      <c r="G77" s="111"/>
      <c r="H77" s="112">
        <f t="shared" si="7"/>
        <v>4.8862826787379205</v>
      </c>
      <c r="I77" s="112">
        <f t="shared" si="7"/>
        <v>3.5776</v>
      </c>
      <c r="J77" s="112">
        <f t="shared" si="7"/>
        <v>9.87432636297537</v>
      </c>
      <c r="K77" s="112">
        <f t="shared" si="7"/>
        <v>13.1354427337646</v>
      </c>
      <c r="L77" s="112">
        <f t="shared" si="7"/>
        <v>5916.67484006095</v>
      </c>
      <c r="M77" s="112">
        <f t="shared" si="7"/>
        <v>51.92</v>
      </c>
      <c r="N77" s="106"/>
      <c r="O77" s="106"/>
      <c r="P77" s="106"/>
      <c r="Q77" s="106"/>
    </row>
    <row r="78" spans="1:19" ht="12.75">
      <c r="A78" s="44" t="s">
        <v>561</v>
      </c>
      <c r="B78" s="24" t="s">
        <v>196</v>
      </c>
      <c r="C78" s="102">
        <v>5</v>
      </c>
      <c r="D78" s="102">
        <v>3.7</v>
      </c>
      <c r="E78" s="102">
        <v>8.7</v>
      </c>
      <c r="F78" s="102">
        <v>42.52873563218391</v>
      </c>
      <c r="G78" s="103">
        <v>2000</v>
      </c>
      <c r="H78" s="106" t="s">
        <v>193</v>
      </c>
      <c r="I78" s="106">
        <v>2.5655</v>
      </c>
      <c r="J78" s="106" t="s">
        <v>193</v>
      </c>
      <c r="K78" s="106">
        <v>13.5831212997437</v>
      </c>
      <c r="L78" s="106">
        <v>5326.78881308246</v>
      </c>
      <c r="M78" s="106" t="s">
        <v>193</v>
      </c>
      <c r="N78" s="106">
        <v>-1.2416215307511338</v>
      </c>
      <c r="O78" s="106">
        <v>0.3393999999999998</v>
      </c>
      <c r="P78" s="106">
        <v>0.44266190000000005</v>
      </c>
      <c r="Q78" s="106">
        <v>0.0091285</v>
      </c>
      <c r="R78" s="44">
        <v>1</v>
      </c>
      <c r="S78" s="44">
        <v>9</v>
      </c>
    </row>
    <row r="79" spans="1:19" ht="12.75">
      <c r="A79" s="44" t="s">
        <v>561</v>
      </c>
      <c r="B79" s="24" t="s">
        <v>197</v>
      </c>
      <c r="C79" s="102">
        <v>1.39</v>
      </c>
      <c r="D79" s="102" t="s">
        <v>193</v>
      </c>
      <c r="E79" s="102" t="s">
        <v>193</v>
      </c>
      <c r="F79" s="102" t="s">
        <v>193</v>
      </c>
      <c r="G79" s="103">
        <v>2000</v>
      </c>
      <c r="H79" s="106" t="s">
        <v>193</v>
      </c>
      <c r="I79" s="106">
        <v>2.7</v>
      </c>
      <c r="J79" s="106" t="s">
        <v>193</v>
      </c>
      <c r="K79" s="106">
        <v>17.5514698028564</v>
      </c>
      <c r="L79" s="106">
        <v>15545.4745634315</v>
      </c>
      <c r="M79" s="106" t="s">
        <v>193</v>
      </c>
      <c r="N79" s="106">
        <v>-0.9289648020540124</v>
      </c>
      <c r="O79" s="106">
        <v>0.5021300000000001</v>
      </c>
      <c r="P79" s="106">
        <v>0.4343625</v>
      </c>
      <c r="Q79" s="106">
        <v>0.5528251</v>
      </c>
      <c r="R79" s="44">
        <v>0</v>
      </c>
      <c r="S79" s="44" t="s">
        <v>193</v>
      </c>
    </row>
    <row r="80" spans="1:19" ht="12.75">
      <c r="A80" s="44" t="s">
        <v>561</v>
      </c>
      <c r="B80" s="24" t="s">
        <v>198</v>
      </c>
      <c r="C80" s="102">
        <v>5.1</v>
      </c>
      <c r="D80" s="102">
        <v>4.9</v>
      </c>
      <c r="E80" s="102">
        <v>10</v>
      </c>
      <c r="F80" s="102">
        <v>49</v>
      </c>
      <c r="G80" s="103">
        <v>2003</v>
      </c>
      <c r="H80" s="106">
        <v>6.09568723755719</v>
      </c>
      <c r="I80" s="106">
        <v>3.9825</v>
      </c>
      <c r="J80" s="106">
        <v>15.32932636297537</v>
      </c>
      <c r="K80" s="106">
        <v>29.2882633209229</v>
      </c>
      <c r="L80" s="106">
        <v>1993.0071056507</v>
      </c>
      <c r="M80" s="106" t="s">
        <v>193</v>
      </c>
      <c r="N80" s="106">
        <v>-0.7313788028652609</v>
      </c>
      <c r="O80" s="106">
        <v>0.796166</v>
      </c>
      <c r="P80" s="106">
        <v>0.6558025000000001</v>
      </c>
      <c r="Q80" s="106">
        <v>0.0434568</v>
      </c>
      <c r="R80" s="44">
        <v>3</v>
      </c>
      <c r="S80" s="44" t="s">
        <v>193</v>
      </c>
    </row>
    <row r="81" spans="1:19" ht="12.75">
      <c r="A81" s="44" t="s">
        <v>561</v>
      </c>
      <c r="B81" s="24" t="s">
        <v>468</v>
      </c>
      <c r="C81" s="102">
        <v>2.7</v>
      </c>
      <c r="D81" s="102">
        <v>1.61</v>
      </c>
      <c r="E81" s="102">
        <v>4.31</v>
      </c>
      <c r="F81" s="102">
        <v>37.35498839907193</v>
      </c>
      <c r="G81" s="103">
        <v>2000</v>
      </c>
      <c r="H81" s="106" t="s">
        <v>193</v>
      </c>
      <c r="I81" s="106">
        <v>2.268</v>
      </c>
      <c r="J81" s="106" t="s">
        <v>193</v>
      </c>
      <c r="K81" s="106">
        <v>11.2025871276855</v>
      </c>
      <c r="L81" s="106">
        <v>3527.21761224437</v>
      </c>
      <c r="M81" s="106">
        <v>34.41</v>
      </c>
      <c r="N81" s="106">
        <v>-0.8770193728521616</v>
      </c>
      <c r="O81" s="106">
        <v>0.18359199999999998</v>
      </c>
      <c r="P81" s="106">
        <v>0.023699000000000026</v>
      </c>
      <c r="Q81" s="106">
        <v>0.19788</v>
      </c>
      <c r="R81" s="44">
        <v>0</v>
      </c>
      <c r="S81" s="44">
        <v>9</v>
      </c>
    </row>
    <row r="82" spans="1:19" ht="12.75">
      <c r="A82" s="44" t="s">
        <v>561</v>
      </c>
      <c r="B82" s="24" t="s">
        <v>480</v>
      </c>
      <c r="C82" s="102">
        <v>1.12</v>
      </c>
      <c r="D82" s="102">
        <v>2.7</v>
      </c>
      <c r="E82" s="102">
        <v>3.82</v>
      </c>
      <c r="F82" s="102">
        <v>70.68062827225131</v>
      </c>
      <c r="G82" s="103">
        <v>2000</v>
      </c>
      <c r="H82" s="106">
        <v>4.34888261106555</v>
      </c>
      <c r="I82" s="106">
        <v>2.296</v>
      </c>
      <c r="J82" s="106">
        <v>9.14932636297537</v>
      </c>
      <c r="K82" s="106">
        <v>13.8773031234741</v>
      </c>
      <c r="L82" s="106">
        <v>5806.3374985323</v>
      </c>
      <c r="M82" s="106">
        <v>43</v>
      </c>
      <c r="N82" s="106">
        <v>-0.9444674740381677</v>
      </c>
      <c r="O82" s="106">
        <v>0.6683999999999999</v>
      </c>
      <c r="P82" s="106">
        <v>0.7462229</v>
      </c>
      <c r="Q82" s="106">
        <v>0.1151954</v>
      </c>
      <c r="R82" s="44">
        <v>4</v>
      </c>
      <c r="S82" s="44">
        <v>6</v>
      </c>
    </row>
    <row r="83" spans="1:19" ht="12.75">
      <c r="A83" s="44" t="s">
        <v>561</v>
      </c>
      <c r="B83" s="24" t="s">
        <v>98</v>
      </c>
      <c r="C83" s="102">
        <v>3.16</v>
      </c>
      <c r="D83" s="102">
        <v>15.94</v>
      </c>
      <c r="E83" s="102">
        <v>19.1</v>
      </c>
      <c r="F83" s="102">
        <v>83.45549738219894</v>
      </c>
      <c r="G83" s="103">
        <v>2004</v>
      </c>
      <c r="H83" s="106" t="s">
        <v>193</v>
      </c>
      <c r="I83" s="106">
        <v>4.1605</v>
      </c>
      <c r="J83" s="106" t="s">
        <v>193</v>
      </c>
      <c r="K83" s="106" t="s">
        <v>193</v>
      </c>
      <c r="L83" s="106" t="s">
        <v>193</v>
      </c>
      <c r="M83" s="106" t="s">
        <v>193</v>
      </c>
      <c r="N83" s="106">
        <v>-1.7573595332995533</v>
      </c>
      <c r="O83" s="106">
        <v>0.3689100000000002</v>
      </c>
      <c r="P83" s="106">
        <v>0.36944730000000003</v>
      </c>
      <c r="Q83" s="106">
        <v>0.4843678</v>
      </c>
      <c r="R83" s="44">
        <v>-66</v>
      </c>
      <c r="S83" s="44">
        <v>5</v>
      </c>
    </row>
    <row r="84" spans="1:19" ht="12.75">
      <c r="A84" s="44" t="s">
        <v>561</v>
      </c>
      <c r="B84" s="44" t="s">
        <v>199</v>
      </c>
      <c r="C84" s="102">
        <v>4</v>
      </c>
      <c r="D84" s="102">
        <v>1.31</v>
      </c>
      <c r="E84" s="102">
        <v>5.31</v>
      </c>
      <c r="F84" s="102">
        <v>24.670433145009415</v>
      </c>
      <c r="G84" s="103">
        <v>2002</v>
      </c>
      <c r="H84" s="106">
        <v>4.94416547862632</v>
      </c>
      <c r="I84" s="106">
        <v>4.6851</v>
      </c>
      <c r="J84" s="106">
        <v>10.639326362975371</v>
      </c>
      <c r="K84" s="106">
        <v>16.2938861846924</v>
      </c>
      <c r="L84" s="106">
        <v>4598.61315832126</v>
      </c>
      <c r="M84" s="106">
        <v>38.838</v>
      </c>
      <c r="N84" s="106">
        <v>-0.7619964853432771</v>
      </c>
      <c r="O84" s="106">
        <v>0.5926</v>
      </c>
      <c r="P84" s="106">
        <v>0.03955580000000003</v>
      </c>
      <c r="Q84" s="106">
        <v>0.0659424</v>
      </c>
      <c r="R84" s="44">
        <v>2</v>
      </c>
      <c r="S84" s="44">
        <v>8</v>
      </c>
    </row>
    <row r="85" spans="1:19" ht="12.75">
      <c r="A85" s="44" t="s">
        <v>561</v>
      </c>
      <c r="B85" s="44" t="s">
        <v>200</v>
      </c>
      <c r="C85" s="102">
        <v>5.9</v>
      </c>
      <c r="D85" s="102" t="s">
        <v>193</v>
      </c>
      <c r="E85" s="102" t="s">
        <v>193</v>
      </c>
      <c r="F85" s="102" t="s">
        <v>193</v>
      </c>
      <c r="G85" s="103">
        <v>1996</v>
      </c>
      <c r="H85" s="106">
        <v>6.58599834425305</v>
      </c>
      <c r="I85" s="106">
        <v>2.4242</v>
      </c>
      <c r="J85" s="106" t="s">
        <v>193</v>
      </c>
      <c r="K85" s="106">
        <v>27.2660751342773</v>
      </c>
      <c r="L85" s="106">
        <v>19470.8382012693</v>
      </c>
      <c r="M85" s="106" t="s">
        <v>193</v>
      </c>
      <c r="N85" s="106">
        <v>-0.5250390562705644</v>
      </c>
      <c r="O85" s="106">
        <v>0.6604</v>
      </c>
      <c r="P85" s="106">
        <v>0.3444357</v>
      </c>
      <c r="Q85" s="106">
        <v>0.674472</v>
      </c>
      <c r="R85" s="44">
        <v>0</v>
      </c>
      <c r="S85" s="44" t="s">
        <v>193</v>
      </c>
    </row>
    <row r="86" spans="1:19" ht="12.75">
      <c r="A86" s="44" t="s">
        <v>561</v>
      </c>
      <c r="B86" s="44" t="s">
        <v>105</v>
      </c>
      <c r="C86" s="102">
        <v>2.5</v>
      </c>
      <c r="D86" s="102">
        <v>0.4</v>
      </c>
      <c r="E86" s="102">
        <v>2.9</v>
      </c>
      <c r="F86" s="102">
        <v>13.793103448275861</v>
      </c>
      <c r="G86" s="103">
        <v>2004</v>
      </c>
      <c r="H86" s="106">
        <v>2.55564172451054</v>
      </c>
      <c r="I86" s="106">
        <v>3.1784</v>
      </c>
      <c r="J86" s="106">
        <v>8.22932636297537</v>
      </c>
      <c r="K86" s="106">
        <v>15.2522478103638</v>
      </c>
      <c r="L86" s="106">
        <v>5387.96705344378</v>
      </c>
      <c r="M86" s="106" t="s">
        <v>193</v>
      </c>
      <c r="N86" s="106">
        <v>-0.5052594127587493</v>
      </c>
      <c r="O86" s="106">
        <v>0.13139999999999985</v>
      </c>
      <c r="P86" s="106">
        <v>0.13122250000000002</v>
      </c>
      <c r="Q86" s="106">
        <v>0.7886458</v>
      </c>
      <c r="R86" s="44">
        <v>-66</v>
      </c>
      <c r="S86" s="44" t="s">
        <v>193</v>
      </c>
    </row>
    <row r="87" spans="1:19" ht="12.75">
      <c r="A87" s="44" t="s">
        <v>561</v>
      </c>
      <c r="B87" s="24" t="s">
        <v>201</v>
      </c>
      <c r="C87" s="102">
        <v>2.77</v>
      </c>
      <c r="D87" s="102">
        <v>1.9</v>
      </c>
      <c r="E87" s="102">
        <v>4.67</v>
      </c>
      <c r="F87" s="102">
        <v>40.685224839400426</v>
      </c>
      <c r="G87" s="103">
        <v>1998</v>
      </c>
      <c r="H87" s="106">
        <v>6.07098437074363</v>
      </c>
      <c r="I87" s="106">
        <v>1.4976</v>
      </c>
      <c r="J87" s="106">
        <v>9.99932636297537</v>
      </c>
      <c r="K87" s="106">
        <v>18.0232696533203</v>
      </c>
      <c r="L87" s="106">
        <v>3477.48275782948</v>
      </c>
      <c r="M87" s="106">
        <v>39.5</v>
      </c>
      <c r="N87" s="106">
        <v>-0.24315667278195197</v>
      </c>
      <c r="O87" s="106">
        <v>0.48405717924597985</v>
      </c>
      <c r="P87" s="106">
        <v>0.468344</v>
      </c>
      <c r="Q87" s="106">
        <v>0.0034627</v>
      </c>
      <c r="R87" s="44">
        <v>0</v>
      </c>
      <c r="S87" s="44" t="s">
        <v>193</v>
      </c>
    </row>
    <row r="88" spans="1:19" ht="12.75">
      <c r="A88" s="44" t="s">
        <v>561</v>
      </c>
      <c r="B88" s="44" t="s">
        <v>526</v>
      </c>
      <c r="C88" s="102">
        <v>0.6</v>
      </c>
      <c r="D88" s="102" t="s">
        <v>193</v>
      </c>
      <c r="E88" s="102" t="s">
        <v>193</v>
      </c>
      <c r="F88" s="102" t="s">
        <v>193</v>
      </c>
      <c r="G88" s="103">
        <v>1999</v>
      </c>
      <c r="H88" s="106" t="s">
        <v>193</v>
      </c>
      <c r="I88" s="106">
        <v>1.9796</v>
      </c>
      <c r="J88" s="106" t="s">
        <v>193</v>
      </c>
      <c r="K88" s="106">
        <v>10.6040592193604</v>
      </c>
      <c r="L88" s="106">
        <v>3090.45164934833</v>
      </c>
      <c r="M88" s="106" t="s">
        <v>193</v>
      </c>
      <c r="N88" s="106">
        <v>-1.503335167358585</v>
      </c>
      <c r="O88" s="106">
        <v>0.539922</v>
      </c>
      <c r="P88" s="106">
        <v>0.1816702</v>
      </c>
      <c r="Q88" s="106">
        <v>0.4309792</v>
      </c>
      <c r="R88" s="44">
        <v>0</v>
      </c>
      <c r="S88" s="44" t="s">
        <v>193</v>
      </c>
    </row>
    <row r="89" spans="1:19" ht="12.75">
      <c r="A89" s="44" t="s">
        <v>561</v>
      </c>
      <c r="B89" s="44" t="s">
        <v>202</v>
      </c>
      <c r="C89" s="102">
        <v>4.2</v>
      </c>
      <c r="D89" s="102">
        <v>2.32</v>
      </c>
      <c r="E89" s="102">
        <v>6.52</v>
      </c>
      <c r="F89" s="102">
        <v>35.58282208588957</v>
      </c>
      <c r="G89" s="103">
        <v>2000</v>
      </c>
      <c r="H89" s="106">
        <v>6.84064990707549</v>
      </c>
      <c r="I89" s="106">
        <v>2.856</v>
      </c>
      <c r="J89" s="106">
        <v>11.84932636297537</v>
      </c>
      <c r="K89" s="106">
        <v>15.5593242645264</v>
      </c>
      <c r="L89" s="106">
        <v>6279.06168425871</v>
      </c>
      <c r="M89" s="106">
        <v>39.8</v>
      </c>
      <c r="N89" s="106">
        <v>-0.704343959300026</v>
      </c>
      <c r="O89" s="106">
        <v>0.0394000000000001</v>
      </c>
      <c r="P89" s="106">
        <v>0.012422000000000044</v>
      </c>
      <c r="Q89" s="106">
        <v>0.0103731</v>
      </c>
      <c r="R89" s="44">
        <v>1</v>
      </c>
      <c r="S89" s="44" t="s">
        <v>193</v>
      </c>
    </row>
    <row r="90" spans="1:19" ht="12.75">
      <c r="A90" s="44" t="s">
        <v>561</v>
      </c>
      <c r="B90" s="44" t="s">
        <v>195</v>
      </c>
      <c r="C90" s="102" t="s">
        <v>193</v>
      </c>
      <c r="D90" s="102" t="s">
        <v>193</v>
      </c>
      <c r="E90" s="102">
        <v>5.7</v>
      </c>
      <c r="F90" s="102" t="s">
        <v>193</v>
      </c>
      <c r="G90" s="103">
        <v>2001</v>
      </c>
      <c r="H90" s="106" t="s">
        <v>193</v>
      </c>
      <c r="I90" s="106" t="s">
        <v>193</v>
      </c>
      <c r="J90" s="106" t="s">
        <v>193</v>
      </c>
      <c r="K90" s="106">
        <v>30.5365123748779</v>
      </c>
      <c r="L90" s="106" t="s">
        <v>193</v>
      </c>
      <c r="M90" s="106" t="s">
        <v>193</v>
      </c>
      <c r="N90" s="106">
        <v>-1.1415398491930682</v>
      </c>
      <c r="O90" s="106" t="s">
        <v>175</v>
      </c>
      <c r="P90" s="106">
        <v>0.14380099999999996</v>
      </c>
      <c r="Q90" s="106">
        <v>0.3095279</v>
      </c>
      <c r="R90" s="44" t="e">
        <v>#N/A</v>
      </c>
      <c r="S90" s="44" t="s">
        <v>193</v>
      </c>
    </row>
    <row r="91" spans="1:19" ht="12.75">
      <c r="A91" s="44" t="s">
        <v>561</v>
      </c>
      <c r="B91" s="44" t="s">
        <v>538</v>
      </c>
      <c r="C91" s="102">
        <v>0.9</v>
      </c>
      <c r="D91" s="102">
        <v>1</v>
      </c>
      <c r="E91" s="102">
        <v>1.9</v>
      </c>
      <c r="F91" s="102">
        <v>52.63157894736842</v>
      </c>
      <c r="G91" s="103">
        <v>1999</v>
      </c>
      <c r="H91" s="106">
        <v>9.86420022940764</v>
      </c>
      <c r="I91" s="106">
        <v>1.8855</v>
      </c>
      <c r="J91" s="106">
        <v>7.229326362975369</v>
      </c>
      <c r="K91" s="106">
        <v>13.4384918212891</v>
      </c>
      <c r="L91" s="106">
        <v>794.741793781517</v>
      </c>
      <c r="M91" s="106">
        <v>33.44</v>
      </c>
      <c r="N91" s="106">
        <v>-0.7668106406425895</v>
      </c>
      <c r="O91" s="106" t="s">
        <v>175</v>
      </c>
      <c r="P91" s="106">
        <v>0.00798169999999998</v>
      </c>
      <c r="Q91" s="106">
        <v>0.0022857</v>
      </c>
      <c r="R91" s="44">
        <v>1</v>
      </c>
      <c r="S91" s="44" t="s">
        <v>193</v>
      </c>
    </row>
    <row r="92" spans="1:17" s="109" customFormat="1" ht="12.75">
      <c r="A92" s="109" t="s">
        <v>561</v>
      </c>
      <c r="B92" s="109" t="s">
        <v>388</v>
      </c>
      <c r="C92" s="112">
        <f>AVERAGE(C$78:C$91)</f>
        <v>3.0261538461538464</v>
      </c>
      <c r="D92" s="112">
        <f aca="true" t="shared" si="8" ref="D92:M92">AVERAGE(D$78:D$91)</f>
        <v>3.5780000000000003</v>
      </c>
      <c r="E92" s="112">
        <f t="shared" si="8"/>
        <v>6.630000000000001</v>
      </c>
      <c r="F92" s="112">
        <f t="shared" si="8"/>
        <v>45.038301215164985</v>
      </c>
      <c r="G92" s="111"/>
      <c r="H92" s="112">
        <f t="shared" si="8"/>
        <v>5.913276237904926</v>
      </c>
      <c r="I92" s="112">
        <f t="shared" si="8"/>
        <v>2.806069230769231</v>
      </c>
      <c r="J92" s="112">
        <f t="shared" si="8"/>
        <v>10.346469220118227</v>
      </c>
      <c r="K92" s="112">
        <f t="shared" si="8"/>
        <v>17.882816241337704</v>
      </c>
      <c r="L92" s="112">
        <f t="shared" si="8"/>
        <v>6274.831824266142</v>
      </c>
      <c r="M92" s="112">
        <f t="shared" si="8"/>
        <v>38.16466666666667</v>
      </c>
      <c r="N92" s="106"/>
      <c r="O92" s="106"/>
      <c r="P92" s="106"/>
      <c r="Q92" s="106"/>
    </row>
    <row r="93" spans="1:17" s="109" customFormat="1" ht="12.75">
      <c r="A93" s="109" t="s">
        <v>561</v>
      </c>
      <c r="B93" s="109" t="s">
        <v>389</v>
      </c>
      <c r="C93" s="112">
        <f>MEDIAN(C$78:C$91)</f>
        <v>2.77</v>
      </c>
      <c r="D93" s="112">
        <f aca="true" t="shared" si="9" ref="D93:M93">MEDIAN(D$78:D$91)</f>
        <v>2.11</v>
      </c>
      <c r="E93" s="112">
        <f t="shared" si="9"/>
        <v>5.31</v>
      </c>
      <c r="F93" s="112">
        <f t="shared" si="9"/>
        <v>41.606980235792165</v>
      </c>
      <c r="G93" s="111"/>
      <c r="H93" s="112">
        <f t="shared" si="9"/>
        <v>6.08333580415041</v>
      </c>
      <c r="I93" s="112">
        <f t="shared" si="9"/>
        <v>2.5655</v>
      </c>
      <c r="J93" s="112">
        <f t="shared" si="9"/>
        <v>9.99932636297537</v>
      </c>
      <c r="K93" s="112">
        <f t="shared" si="9"/>
        <v>15.5593242645264</v>
      </c>
      <c r="L93" s="112">
        <f t="shared" si="9"/>
        <v>4962.70098570186</v>
      </c>
      <c r="M93" s="112">
        <f t="shared" si="9"/>
        <v>39.169</v>
      </c>
      <c r="N93" s="106"/>
      <c r="O93" s="106"/>
      <c r="P93" s="106"/>
      <c r="Q93" s="106"/>
    </row>
    <row r="94" spans="1:19" ht="12.75">
      <c r="A94" s="44" t="s">
        <v>559</v>
      </c>
      <c r="B94" s="24" t="s">
        <v>234</v>
      </c>
      <c r="C94" s="102">
        <v>1.3</v>
      </c>
      <c r="D94" s="102">
        <v>0.7</v>
      </c>
      <c r="E94" s="102">
        <v>2</v>
      </c>
      <c r="F94" s="102">
        <v>35</v>
      </c>
      <c r="G94" s="103">
        <v>2004</v>
      </c>
      <c r="H94" s="106">
        <v>2.2482858695</v>
      </c>
      <c r="I94" s="106">
        <v>0.8711</v>
      </c>
      <c r="J94" s="106">
        <v>7.329326362975371</v>
      </c>
      <c r="K94" s="106">
        <v>5.52798414230347</v>
      </c>
      <c r="L94" s="106">
        <v>1917.28034863584</v>
      </c>
      <c r="M94" s="106">
        <v>33.4</v>
      </c>
      <c r="N94" s="106">
        <v>-0.6643140562762215</v>
      </c>
      <c r="O94" s="106">
        <v>0.045433999999999974</v>
      </c>
      <c r="P94" s="106">
        <v>0.09248520000000005</v>
      </c>
      <c r="Q94" s="106">
        <v>0.2090498</v>
      </c>
      <c r="R94" s="44">
        <v>6</v>
      </c>
      <c r="S94" s="44">
        <v>8</v>
      </c>
    </row>
    <row r="95" spans="1:19" ht="12.75">
      <c r="A95" s="44" t="s">
        <v>559</v>
      </c>
      <c r="B95" s="44" t="s">
        <v>109</v>
      </c>
      <c r="C95" s="102">
        <v>2.1</v>
      </c>
      <c r="D95" s="102">
        <v>2.2</v>
      </c>
      <c r="E95" s="102">
        <v>4.3</v>
      </c>
      <c r="F95" s="102">
        <v>51.16279069767441</v>
      </c>
      <c r="G95" s="103">
        <v>2004</v>
      </c>
      <c r="H95" s="106">
        <v>3.7604976657442</v>
      </c>
      <c r="I95" s="106">
        <v>0.865</v>
      </c>
      <c r="J95" s="106">
        <v>9.62932636297537</v>
      </c>
      <c r="K95" s="106">
        <v>10.9557485580444</v>
      </c>
      <c r="L95" s="106">
        <v>3110.37730393536</v>
      </c>
      <c r="M95" s="106">
        <v>36.8</v>
      </c>
      <c r="N95" s="106">
        <v>0.3899257827515208</v>
      </c>
      <c r="O95" s="106">
        <v>0.4182</v>
      </c>
      <c r="P95" s="106">
        <v>0.8069049</v>
      </c>
      <c r="Q95" s="106">
        <v>0.3260226</v>
      </c>
      <c r="R95" s="44">
        <v>9</v>
      </c>
      <c r="S95" s="44">
        <v>3</v>
      </c>
    </row>
    <row r="96" spans="1:19" ht="12.75">
      <c r="A96" s="44" t="s">
        <v>559</v>
      </c>
      <c r="B96" s="24" t="s">
        <v>87</v>
      </c>
      <c r="C96" s="102">
        <v>0.2</v>
      </c>
      <c r="D96" s="102">
        <v>0.2</v>
      </c>
      <c r="E96" s="102">
        <v>0.4</v>
      </c>
      <c r="F96" s="102">
        <v>50</v>
      </c>
      <c r="G96" s="103">
        <v>2004</v>
      </c>
      <c r="H96" s="106">
        <v>7.15215277385229</v>
      </c>
      <c r="I96" s="106">
        <v>6.2678</v>
      </c>
      <c r="J96" s="106">
        <v>5.729326362975369</v>
      </c>
      <c r="K96" s="106">
        <v>24.2013549804688</v>
      </c>
      <c r="L96" s="106" t="s">
        <v>193</v>
      </c>
      <c r="M96" s="106" t="s">
        <v>193</v>
      </c>
      <c r="N96" s="106">
        <v>-1.0948377876881479</v>
      </c>
      <c r="O96" s="106" t="e">
        <v>#N/A</v>
      </c>
      <c r="P96" s="106" t="e">
        <v>#N/A</v>
      </c>
      <c r="Q96" s="106" t="e">
        <v>#N/A</v>
      </c>
      <c r="R96" s="44" t="e">
        <v>#N/A</v>
      </c>
      <c r="S96" s="44" t="s">
        <v>193</v>
      </c>
    </row>
    <row r="97" spans="1:19" ht="12.75">
      <c r="A97" s="44" t="s">
        <v>559</v>
      </c>
      <c r="B97" s="24" t="s">
        <v>235</v>
      </c>
      <c r="C97" s="102">
        <v>1.4</v>
      </c>
      <c r="D97" s="102">
        <v>0.4</v>
      </c>
      <c r="E97" s="102">
        <v>1.8</v>
      </c>
      <c r="F97" s="102">
        <v>22.222222222222225</v>
      </c>
      <c r="G97" s="103">
        <v>2004</v>
      </c>
      <c r="H97" s="106">
        <v>1.96974738091724</v>
      </c>
      <c r="I97" s="106">
        <v>0.4312</v>
      </c>
      <c r="J97" s="106">
        <v>7.12932636297537</v>
      </c>
      <c r="K97" s="106">
        <v>8.19883728027344</v>
      </c>
      <c r="L97" s="106">
        <v>2208.55340066085</v>
      </c>
      <c r="M97" s="106">
        <v>30.5647</v>
      </c>
      <c r="N97" s="106">
        <v>-1.1709441415216166</v>
      </c>
      <c r="O97" s="106">
        <v>0.7097999999999999</v>
      </c>
      <c r="P97" s="106">
        <v>0.7190371</v>
      </c>
      <c r="Q97" s="106">
        <v>0.3848287</v>
      </c>
      <c r="R97" s="44">
        <v>0</v>
      </c>
      <c r="S97" s="44">
        <v>4</v>
      </c>
    </row>
    <row r="98" spans="1:19" ht="12.75">
      <c r="A98" s="44" t="s">
        <v>559</v>
      </c>
      <c r="B98" s="24" t="s">
        <v>236</v>
      </c>
      <c r="C98" s="102">
        <v>2</v>
      </c>
      <c r="D98" s="102">
        <v>1</v>
      </c>
      <c r="E98" s="102">
        <v>3</v>
      </c>
      <c r="F98" s="102">
        <v>33.33333333333333</v>
      </c>
      <c r="G98" s="103">
        <v>2004</v>
      </c>
      <c r="H98" s="106" t="s">
        <v>193</v>
      </c>
      <c r="I98" s="106">
        <v>1.9608</v>
      </c>
      <c r="J98" s="106" t="s">
        <v>193</v>
      </c>
      <c r="K98" s="106">
        <v>8.11662769317627</v>
      </c>
      <c r="L98" s="106">
        <v>4276.43326515057</v>
      </c>
      <c r="M98" s="106">
        <v>40.17</v>
      </c>
      <c r="N98" s="106">
        <v>-0.2379091056675202</v>
      </c>
      <c r="O98" s="106">
        <v>0.415</v>
      </c>
      <c r="P98" s="106">
        <v>0.4644557</v>
      </c>
      <c r="Q98" s="106">
        <v>0.4852962</v>
      </c>
      <c r="R98" s="44">
        <v>6</v>
      </c>
      <c r="S98" s="44" t="s">
        <v>193</v>
      </c>
    </row>
    <row r="99" spans="1:17" s="109" customFormat="1" ht="12.75">
      <c r="A99" s="109" t="s">
        <v>559</v>
      </c>
      <c r="B99" s="110" t="s">
        <v>390</v>
      </c>
      <c r="C99" s="112">
        <f>AVERAGE(C$94:C$98)</f>
        <v>1.4</v>
      </c>
      <c r="D99" s="112">
        <f aca="true" t="shared" si="10" ref="D99:M99">AVERAGE(D$94:D$98)</f>
        <v>0.9</v>
      </c>
      <c r="E99" s="112">
        <f t="shared" si="10"/>
        <v>2.3</v>
      </c>
      <c r="F99" s="112">
        <f t="shared" si="10"/>
        <v>38.343669250645995</v>
      </c>
      <c r="G99" s="111"/>
      <c r="H99" s="112">
        <f t="shared" si="10"/>
        <v>3.7826709225034327</v>
      </c>
      <c r="I99" s="112">
        <f t="shared" si="10"/>
        <v>2.07918</v>
      </c>
      <c r="J99" s="112">
        <f t="shared" si="10"/>
        <v>7.454326362975371</v>
      </c>
      <c r="K99" s="112">
        <f t="shared" si="10"/>
        <v>11.400110530853276</v>
      </c>
      <c r="L99" s="112">
        <f t="shared" si="10"/>
        <v>2878.161079595655</v>
      </c>
      <c r="M99" s="112">
        <f t="shared" si="10"/>
        <v>35.233675</v>
      </c>
      <c r="N99" s="106"/>
      <c r="O99" s="106"/>
      <c r="P99" s="106"/>
      <c r="Q99" s="106"/>
    </row>
    <row r="100" spans="1:17" s="109" customFormat="1" ht="12.75">
      <c r="A100" s="109" t="s">
        <v>559</v>
      </c>
      <c r="B100" s="110" t="s">
        <v>391</v>
      </c>
      <c r="C100" s="112">
        <f>MEDIAN(C$94:C$98)</f>
        <v>1.4</v>
      </c>
      <c r="D100" s="112">
        <f aca="true" t="shared" si="11" ref="D100:M100">MEDIAN(D$94:D$98)</f>
        <v>0.7</v>
      </c>
      <c r="E100" s="112">
        <f t="shared" si="11"/>
        <v>2</v>
      </c>
      <c r="F100" s="112">
        <f t="shared" si="11"/>
        <v>35</v>
      </c>
      <c r="G100" s="111"/>
      <c r="H100" s="112">
        <f t="shared" si="11"/>
        <v>3.0043917676221</v>
      </c>
      <c r="I100" s="112">
        <f t="shared" si="11"/>
        <v>0.8711</v>
      </c>
      <c r="J100" s="112">
        <f t="shared" si="11"/>
        <v>7.22932636297537</v>
      </c>
      <c r="K100" s="112">
        <f t="shared" si="11"/>
        <v>8.19883728027344</v>
      </c>
      <c r="L100" s="112">
        <f t="shared" si="11"/>
        <v>2659.4653522981052</v>
      </c>
      <c r="M100" s="112">
        <f t="shared" si="11"/>
        <v>35.099999999999994</v>
      </c>
      <c r="N100" s="106"/>
      <c r="O100" s="106"/>
      <c r="P100" s="106"/>
      <c r="Q100" s="106"/>
    </row>
    <row r="101" spans="1:13" s="109" customFormat="1" ht="12.75">
      <c r="A101" s="109" t="s">
        <v>84</v>
      </c>
      <c r="B101" s="110" t="s">
        <v>85</v>
      </c>
      <c r="C101" s="112">
        <f>AVERAGE(C$94:C$98,C$78:C$91,C$51:C$75,C$24:C$48,C$13:C$21,C$2:C$10)</f>
        <v>4.605793421052631</v>
      </c>
      <c r="D101" s="112">
        <f aca="true" t="shared" si="12" ref="D101:M101">AVERAGE(D$94:D$98,D$78:D$91,D$51:D$75,D$24:D$48,D$13:D$21,D$2:D$10)</f>
        <v>1.9082959459459463</v>
      </c>
      <c r="E101" s="112">
        <f t="shared" si="12"/>
        <v>6.488301298701299</v>
      </c>
      <c r="F101" s="112">
        <f t="shared" si="12"/>
        <v>31.649503204544654</v>
      </c>
      <c r="G101" s="111"/>
      <c r="H101" s="112">
        <f t="shared" si="12"/>
        <v>4.476737179037989</v>
      </c>
      <c r="I101" s="112">
        <f t="shared" si="12"/>
        <v>3.1614794421548784</v>
      </c>
      <c r="J101" s="112">
        <f t="shared" si="12"/>
        <v>11.542243029642039</v>
      </c>
      <c r="K101" s="112">
        <f t="shared" si="12"/>
        <v>15.097294676871527</v>
      </c>
      <c r="L101" s="112">
        <f t="shared" si="12"/>
        <v>5813.223993469445</v>
      </c>
      <c r="M101" s="112">
        <f t="shared" si="12"/>
        <v>41.057912153846154</v>
      </c>
    </row>
    <row r="102" spans="1:13" s="109" customFormat="1" ht="12.75">
      <c r="A102" s="109" t="s">
        <v>84</v>
      </c>
      <c r="B102" s="110" t="s">
        <v>86</v>
      </c>
      <c r="C102" s="112">
        <f>MEDIAN(C$94:C$98,C$78:C$91,C$51:C$75,C$24:C$48,C$13:C$21,C$2:C$10)</f>
        <v>3.25</v>
      </c>
      <c r="D102" s="112">
        <f aca="true" t="shared" si="13" ref="D102:M102">MEDIAN(D$94:D$98,D$78:D$91,D$51:D$75,D$24:D$48,D$13:D$21,D$2:D$10)</f>
        <v>1.45</v>
      </c>
      <c r="E102" s="112">
        <f t="shared" si="13"/>
        <v>5.4</v>
      </c>
      <c r="F102" s="112">
        <f t="shared" si="13"/>
        <v>26.444547996272135</v>
      </c>
      <c r="G102" s="111"/>
      <c r="H102" s="112">
        <f t="shared" si="13"/>
        <v>4.24049809784036</v>
      </c>
      <c r="I102" s="112">
        <f t="shared" si="13"/>
        <v>2.8635</v>
      </c>
      <c r="J102" s="112">
        <f t="shared" si="13"/>
        <v>10.684326362975371</v>
      </c>
      <c r="K102" s="112">
        <f t="shared" si="13"/>
        <v>13.6148729324341</v>
      </c>
      <c r="L102" s="112">
        <f t="shared" si="13"/>
        <v>5322.343996261336</v>
      </c>
      <c r="M102" s="112">
        <f t="shared" si="13"/>
        <v>39.8</v>
      </c>
    </row>
    <row r="103" spans="3:9" ht="12.75">
      <c r="C103" s="102"/>
      <c r="D103" s="102"/>
      <c r="E103" s="102"/>
      <c r="F103" s="102"/>
      <c r="G103" s="103"/>
      <c r="H103" s="105"/>
      <c r="I103" s="106"/>
    </row>
    <row r="104" spans="2:9" ht="12.75">
      <c r="B104" s="24"/>
      <c r="C104" s="102"/>
      <c r="D104" s="102"/>
      <c r="E104" s="102"/>
      <c r="F104" s="102"/>
      <c r="G104" s="103"/>
      <c r="H104" s="105"/>
      <c r="I104" s="106"/>
    </row>
    <row r="105" spans="3:9" ht="12.75">
      <c r="C105" s="102"/>
      <c r="D105" s="102"/>
      <c r="E105" s="102"/>
      <c r="F105" s="102"/>
      <c r="G105" s="103"/>
      <c r="H105" s="105"/>
      <c r="I105" s="106"/>
    </row>
    <row r="106" spans="3:9" ht="12.75">
      <c r="C106" s="102"/>
      <c r="D106" s="102"/>
      <c r="E106" s="102"/>
      <c r="F106" s="102"/>
      <c r="G106" s="103"/>
      <c r="H106" s="105"/>
      <c r="I106" s="106"/>
    </row>
    <row r="107" spans="3:9" ht="12.75">
      <c r="C107" s="102"/>
      <c r="D107" s="102"/>
      <c r="E107" s="102"/>
      <c r="F107" s="102"/>
      <c r="G107" s="103"/>
      <c r="H107" s="105"/>
      <c r="I107" s="106"/>
    </row>
    <row r="108" spans="2:9" ht="12.75">
      <c r="B108" s="24"/>
      <c r="C108" s="102"/>
      <c r="D108" s="102"/>
      <c r="E108" s="102"/>
      <c r="F108" s="102"/>
      <c r="G108" s="103"/>
      <c r="H108" s="105"/>
      <c r="I108" s="106"/>
    </row>
    <row r="109" spans="3:9" ht="12.75">
      <c r="C109" s="102"/>
      <c r="D109" s="102"/>
      <c r="E109" s="102"/>
      <c r="F109" s="102"/>
      <c r="G109" s="103"/>
      <c r="H109" s="105"/>
      <c r="I109" s="106"/>
    </row>
    <row r="110" spans="3:9" ht="12.75">
      <c r="C110" s="102"/>
      <c r="D110" s="102"/>
      <c r="E110" s="102"/>
      <c r="F110" s="102"/>
      <c r="G110" s="103"/>
      <c r="H110" s="105"/>
      <c r="I110" s="106"/>
    </row>
    <row r="112" spans="3:6" ht="12.75">
      <c r="C112" s="107"/>
      <c r="D112" s="107"/>
      <c r="E112" s="107"/>
      <c r="F112" s="107"/>
    </row>
    <row r="113" spans="3:6" ht="12.75">
      <c r="C113" s="107"/>
      <c r="D113" s="107"/>
      <c r="E113" s="107"/>
      <c r="F113" s="107"/>
    </row>
  </sheetData>
  <sheetProtection/>
  <printOptions/>
  <pageMargins left="0.787401575" right="0.787401575" top="0.984251969" bottom="0.984251969" header="0.5" footer="0.5"/>
  <pageSetup horizontalDpi="600" verticalDpi="600" orientation="landscape" scale="70" r:id="rId1"/>
  <headerFooter alignWithMargins="0">
    <oddHeader>&amp;L&amp;D&amp;RDRAFT - NOT FOR QUOTATION</oddHeader>
    <oddFooter>&amp;CPlease provide comments and revised or additional data and reports to Christine Weigand (cweigand@worldbank.org). Thank you.</oddFooter>
  </headerFooter>
</worksheet>
</file>

<file path=xl/worksheets/sheet11.xml><?xml version="1.0" encoding="utf-8"?>
<worksheet xmlns="http://schemas.openxmlformats.org/spreadsheetml/2006/main" xmlns:r="http://schemas.openxmlformats.org/officeDocument/2006/relationships">
  <sheetPr>
    <tabColor indexed="41"/>
  </sheetPr>
  <dimension ref="A2:E20"/>
  <sheetViews>
    <sheetView zoomScalePageLayoutView="0" workbookViewId="0" topLeftCell="A1">
      <selection activeCell="E2" sqref="E2"/>
    </sheetView>
  </sheetViews>
  <sheetFormatPr defaultColWidth="8.8515625" defaultRowHeight="12.75"/>
  <cols>
    <col min="1" max="1" width="26.421875" style="0" bestFit="1" customWidth="1"/>
    <col min="2" max="2" width="8.8515625" style="0" customWidth="1"/>
    <col min="3" max="3" width="9.28125" style="0" customWidth="1"/>
  </cols>
  <sheetData>
    <row r="2" ht="13.5" thickBot="1">
      <c r="A2" s="45">
        <v>39514</v>
      </c>
    </row>
    <row r="3" spans="1:5" ht="39">
      <c r="A3" s="1" t="s">
        <v>571</v>
      </c>
      <c r="B3" s="2" t="s">
        <v>260</v>
      </c>
      <c r="C3" s="2" t="s">
        <v>572</v>
      </c>
      <c r="D3" s="2" t="s">
        <v>187</v>
      </c>
      <c r="E3" s="2" t="s">
        <v>188</v>
      </c>
    </row>
    <row r="4" spans="1:5" ht="12.75">
      <c r="A4" s="14" t="s">
        <v>570</v>
      </c>
      <c r="B4" s="113">
        <f>VLOOKUP("AFR average",regional!$B$2:$M$102,2,0)</f>
        <v>1.485</v>
      </c>
      <c r="C4" s="113">
        <f>VLOOKUP("AFR average",regional!$B$2:$M$102,3,0)</f>
        <v>3.0750000000000006</v>
      </c>
      <c r="D4" s="113">
        <f>VLOOKUP("AFR average",regional!$B$2:$M$102,7,0)</f>
        <v>4.7067265760346055</v>
      </c>
      <c r="E4" s="113">
        <f>VLOOKUP("AFR average",regional!$B$2:$M$102,8,0)</f>
        <v>2.5243222222222226</v>
      </c>
    </row>
    <row r="5" spans="1:5" ht="12.75">
      <c r="A5" s="14" t="s">
        <v>565</v>
      </c>
      <c r="B5" s="113">
        <f>VLOOKUP("EAP average",regional!$B$2:$M$102,2,0)</f>
        <v>2.622375</v>
      </c>
      <c r="C5" s="113">
        <f>VLOOKUP("EAP average",regional!$B$2:$M$102,3,0)</f>
        <v>0.8801000000000002</v>
      </c>
      <c r="D5" s="113">
        <f>VLOOKUP("EAP average",regional!$B$2:$M$102,7,0)</f>
        <v>3.8064524201384162</v>
      </c>
      <c r="E5" s="113">
        <f>VLOOKUP("EAP average",regional!$B$2:$M$102,8,0)</f>
        <v>2.1427999999999994</v>
      </c>
    </row>
    <row r="6" spans="1:5" ht="12.75">
      <c r="A6" s="14" t="s">
        <v>4</v>
      </c>
      <c r="B6" s="113">
        <f>VLOOKUP("ECA average",regional!$B$2:$M$102,2,0)</f>
        <v>8.042050000000001</v>
      </c>
      <c r="C6" s="113">
        <f>VLOOKUP("ECA average",regional!$B$2:$M$102,3,0)</f>
        <v>1.9627083333333335</v>
      </c>
      <c r="D6" s="113">
        <f>VLOOKUP("ECA average",regional!$B$2:$M$102,7,0)</f>
        <v>3.8844857751311346</v>
      </c>
      <c r="E6" s="113">
        <f>VLOOKUP("ECA average",regional!$B$2:$M$102,8,0)</f>
        <v>3.629172107461905</v>
      </c>
    </row>
    <row r="7" spans="1:5" ht="12.75">
      <c r="A7" s="14" t="s">
        <v>567</v>
      </c>
      <c r="B7" s="113">
        <f>VLOOKUP("LAC average",regional!$B$2:$M$102,2,0)</f>
        <v>3.803816666666666</v>
      </c>
      <c r="C7" s="113">
        <f>VLOOKUP("LAC average",regional!$B$2:$M$102,3,0)</f>
        <v>1.2907666666666666</v>
      </c>
      <c r="D7" s="113">
        <f>VLOOKUP("LAC average",regional!$B$2:$M$102,7,0)</f>
        <v>4.707681934209247</v>
      </c>
      <c r="E7" s="113">
        <f>VLOOKUP("LAC average",regional!$B$2:$M$102,8,0)</f>
        <v>3.7659920000000007</v>
      </c>
    </row>
    <row r="8" spans="1:5" ht="12.75">
      <c r="A8" s="14" t="s">
        <v>568</v>
      </c>
      <c r="B8" s="113">
        <f>VLOOKUP("MENA average",regional!$B$2:$M$102,2,0)</f>
        <v>3.0261538461538464</v>
      </c>
      <c r="C8" s="113">
        <f>VLOOKUP("MENA average",regional!$B$2:$M$102,3,0)</f>
        <v>3.5780000000000003</v>
      </c>
      <c r="D8" s="113">
        <f>VLOOKUP("MENA average",regional!$B$2:$M$102,7,0)</f>
        <v>5.913276237904926</v>
      </c>
      <c r="E8" s="113">
        <f>VLOOKUP("MENA average",regional!$B$2:$M$102,8,0)</f>
        <v>2.806069230769231</v>
      </c>
    </row>
    <row r="9" spans="1:5" ht="12.75">
      <c r="A9" s="14" t="s">
        <v>569</v>
      </c>
      <c r="B9" s="113">
        <f>VLOOKUP("SA average",regional!$B$2:$M$102,2,0)</f>
        <v>1.4</v>
      </c>
      <c r="C9" s="113">
        <f>VLOOKUP("SA average",regional!$B$2:$M$102,3,0)</f>
        <v>0.9</v>
      </c>
      <c r="D9" s="113">
        <f>VLOOKUP("SA average",regional!$B$2:$M$102,7,0)</f>
        <v>3.7826709225034327</v>
      </c>
      <c r="E9" s="113">
        <f>VLOOKUP("SA average",regional!$B$2:$M$102,8,0)</f>
        <v>2.07918</v>
      </c>
    </row>
    <row r="10" spans="1:5" ht="12.75">
      <c r="A10" s="14" t="s">
        <v>573</v>
      </c>
      <c r="B10" s="5">
        <v>13.2</v>
      </c>
      <c r="C10" s="5">
        <v>2.5</v>
      </c>
      <c r="D10" s="5"/>
      <c r="E10" s="5"/>
    </row>
    <row r="12" ht="13.5" thickBot="1">
      <c r="A12" s="24" t="s">
        <v>379</v>
      </c>
    </row>
    <row r="13" spans="1:5" ht="39">
      <c r="A13" s="1" t="s">
        <v>571</v>
      </c>
      <c r="B13" s="2" t="s">
        <v>260</v>
      </c>
      <c r="C13" s="2" t="s">
        <v>572</v>
      </c>
      <c r="D13" s="2" t="s">
        <v>187</v>
      </c>
      <c r="E13" s="2" t="s">
        <v>188</v>
      </c>
    </row>
    <row r="14" spans="1:5" ht="12.75">
      <c r="A14" s="14" t="s">
        <v>570</v>
      </c>
      <c r="B14" s="113">
        <f>VLOOKUP("AFR median",regional!$B$2:$M$102,2,0)</f>
        <v>1.05</v>
      </c>
      <c r="C14" s="113">
        <f>VLOOKUP("AFR median",regional!$B$2:$M$102,3,0)</f>
        <v>3.8000000000000003</v>
      </c>
      <c r="D14" s="113">
        <f>VLOOKUP("AFR median",regional!$B$2:$M$102,7,0)</f>
        <v>4.0591758026775</v>
      </c>
      <c r="E14" s="113">
        <f>VLOOKUP("AFR median",regional!$B$2:$M$102,8,0)</f>
        <v>2.3777</v>
      </c>
    </row>
    <row r="15" spans="1:5" ht="12.75">
      <c r="A15" s="14" t="s">
        <v>565</v>
      </c>
      <c r="B15" s="113">
        <f>VLOOKUP("EAP median",regional!$B$2:$M$102,2,0)</f>
        <v>1.5699999999999998</v>
      </c>
      <c r="C15" s="113">
        <f>VLOOKUP("EAP median",regional!$B$2:$M$102,3,0)</f>
        <v>1.1</v>
      </c>
      <c r="D15" s="113">
        <f>VLOOKUP("EAP median",regional!$B$2:$M$102,7,0)</f>
        <v>3.8704039351542354</v>
      </c>
      <c r="E15" s="113">
        <f>VLOOKUP("EAP median",regional!$B$2:$M$102,8,0)</f>
        <v>1.786</v>
      </c>
    </row>
    <row r="16" spans="1:5" ht="12.75">
      <c r="A16" s="14" t="s">
        <v>4</v>
      </c>
      <c r="B16" s="113">
        <f>VLOOKUP("ECA median",regional!$B$2:$M$102,2,0)</f>
        <v>8.2171</v>
      </c>
      <c r="C16" s="113">
        <f>VLOOKUP("ECA median",regional!$B$2:$M$102,3,0)</f>
        <v>1.75</v>
      </c>
      <c r="D16" s="113">
        <f>VLOOKUP("ECA median",regional!$B$2:$M$102,7,0)</f>
        <v>4.02015477397718</v>
      </c>
      <c r="E16" s="113">
        <f>VLOOKUP("ECA median",regional!$B$2:$M$102,8,0)</f>
        <v>3.6512</v>
      </c>
    </row>
    <row r="17" spans="1:5" ht="12.75">
      <c r="A17" s="14" t="s">
        <v>567</v>
      </c>
      <c r="B17" s="113">
        <f>VLOOKUP("LAC median",regional!$B$2:$M$102,2,0)</f>
        <v>2.9400000000000004</v>
      </c>
      <c r="C17" s="113">
        <f>VLOOKUP("LAC median",regional!$B$2:$M$102,3,0)</f>
        <v>1.1</v>
      </c>
      <c r="D17" s="113">
        <f>VLOOKUP("LAC median",regional!$B$2:$M$102,7,0)</f>
        <v>4.8862826787379205</v>
      </c>
      <c r="E17" s="113">
        <f>VLOOKUP("LAC median",regional!$B$2:$M$102,8,0)</f>
        <v>3.5776</v>
      </c>
    </row>
    <row r="18" spans="1:5" ht="12.75">
      <c r="A18" s="14" t="s">
        <v>568</v>
      </c>
      <c r="B18" s="113">
        <f>VLOOKUP("MENA median",regional!$B$2:$M$102,2,0)</f>
        <v>2.77</v>
      </c>
      <c r="C18" s="113">
        <f>VLOOKUP("MENA median",regional!$B$2:$M$102,3,0)</f>
        <v>2.11</v>
      </c>
      <c r="D18" s="113">
        <f>VLOOKUP("MENA median",regional!$B$2:$M$102,7,0)</f>
        <v>6.08333580415041</v>
      </c>
      <c r="E18" s="113">
        <f>VLOOKUP("MENA median",regional!$B$2:$M$102,8,0)</f>
        <v>2.5655</v>
      </c>
    </row>
    <row r="19" spans="1:5" ht="12.75">
      <c r="A19" s="14" t="s">
        <v>569</v>
      </c>
      <c r="B19" s="113">
        <f>VLOOKUP("SA median",regional!$B$2:$M$102,2,0)</f>
        <v>1.4</v>
      </c>
      <c r="C19" s="113">
        <f>VLOOKUP("SA median",regional!$B$2:$M$102,3,0)</f>
        <v>0.7</v>
      </c>
      <c r="D19" s="113">
        <f>VLOOKUP("SA median",regional!$B$2:$M$102,7,0)</f>
        <v>3.0043917676221</v>
      </c>
      <c r="E19" s="113">
        <f>VLOOKUP("SA median",regional!$B$2:$M$102,8,0)</f>
        <v>0.8711</v>
      </c>
    </row>
    <row r="20" spans="1:5" ht="12.75">
      <c r="A20" s="14" t="s">
        <v>573</v>
      </c>
      <c r="B20" s="5">
        <v>13.2</v>
      </c>
      <c r="C20" s="5">
        <v>2.5</v>
      </c>
      <c r="D20" s="5"/>
      <c r="E20" s="5"/>
    </row>
  </sheetData>
  <sheetProtection/>
  <printOptions/>
  <pageMargins left="0.787401575" right="0.787401575" top="0.984251969" bottom="0.984251969"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41"/>
  </sheetPr>
  <dimension ref="A1:S113"/>
  <sheetViews>
    <sheetView zoomScale="75" zoomScaleNormal="75" zoomScalePageLayoutView="0" workbookViewId="0" topLeftCell="A1">
      <pane xSplit="2" ySplit="1" topLeftCell="C2" activePane="bottomRight" state="frozen"/>
      <selection pane="topLeft" activeCell="E2" sqref="E2"/>
      <selection pane="topRight" activeCell="E2" sqref="E2"/>
      <selection pane="bottomLeft" activeCell="E2" sqref="E2"/>
      <selection pane="bottomRight" activeCell="E2" sqref="E2"/>
    </sheetView>
  </sheetViews>
  <sheetFormatPr defaultColWidth="9.140625" defaultRowHeight="12.75"/>
  <cols>
    <col min="1" max="1" width="9.140625" style="44" customWidth="1"/>
    <col min="2" max="2" width="19.8515625" style="44" customWidth="1"/>
    <col min="3" max="6" width="13.7109375" style="108" bestFit="1" customWidth="1"/>
    <col min="7" max="9" width="9.140625" style="108" customWidth="1"/>
    <col min="10" max="16384" width="9.140625" style="44" customWidth="1"/>
  </cols>
  <sheetData>
    <row r="1" spans="2:19" ht="66">
      <c r="B1" s="104" t="s">
        <v>258</v>
      </c>
      <c r="C1" s="104" t="s">
        <v>183</v>
      </c>
      <c r="D1" s="104" t="s">
        <v>184</v>
      </c>
      <c r="E1" s="104" t="s">
        <v>185</v>
      </c>
      <c r="F1" s="104" t="s">
        <v>545</v>
      </c>
      <c r="G1" s="104" t="s">
        <v>186</v>
      </c>
      <c r="H1" s="104" t="s">
        <v>187</v>
      </c>
      <c r="I1" s="104" t="s">
        <v>188</v>
      </c>
      <c r="J1" s="104" t="s">
        <v>174</v>
      </c>
      <c r="K1" s="104" t="s">
        <v>189</v>
      </c>
      <c r="L1" s="104" t="s">
        <v>190</v>
      </c>
      <c r="M1" s="104" t="s">
        <v>191</v>
      </c>
      <c r="N1" s="104" t="s">
        <v>70</v>
      </c>
      <c r="O1" s="104" t="s">
        <v>171</v>
      </c>
      <c r="P1" s="104" t="s">
        <v>172</v>
      </c>
      <c r="Q1" s="104" t="s">
        <v>173</v>
      </c>
      <c r="R1" s="104" t="s">
        <v>69</v>
      </c>
      <c r="S1" s="104" t="s">
        <v>378</v>
      </c>
    </row>
    <row r="2" spans="1:19" ht="12.75">
      <c r="A2" s="44" t="s">
        <v>564</v>
      </c>
      <c r="B2" s="24" t="s">
        <v>133</v>
      </c>
      <c r="C2" s="102">
        <v>0.9</v>
      </c>
      <c r="D2" s="102" t="s">
        <v>193</v>
      </c>
      <c r="E2" s="102" t="s">
        <v>193</v>
      </c>
      <c r="F2" s="102" t="s">
        <v>193</v>
      </c>
      <c r="G2" s="103">
        <v>2003</v>
      </c>
      <c r="H2" s="114">
        <v>3.12592636297537</v>
      </c>
      <c r="I2" s="114">
        <v>2.2034</v>
      </c>
      <c r="J2" s="114" t="s">
        <v>193</v>
      </c>
      <c r="K2" s="114">
        <v>13.2936792373657</v>
      </c>
      <c r="L2" s="114">
        <v>1073.71142895368</v>
      </c>
      <c r="M2" s="114">
        <v>36.47779</v>
      </c>
      <c r="N2" s="114">
        <v>0.09807664944160455</v>
      </c>
      <c r="O2" s="114">
        <v>0.787216</v>
      </c>
      <c r="P2" s="114">
        <v>0.7905251</v>
      </c>
      <c r="Q2" s="114">
        <v>0.5543994</v>
      </c>
      <c r="R2" s="44">
        <v>6</v>
      </c>
      <c r="S2" s="44" t="s">
        <v>193</v>
      </c>
    </row>
    <row r="3" spans="1:19" ht="12.75">
      <c r="A3" s="44" t="s">
        <v>564</v>
      </c>
      <c r="B3" s="24" t="s">
        <v>373</v>
      </c>
      <c r="C3" s="102" t="s">
        <v>193</v>
      </c>
      <c r="D3" s="102" t="s">
        <v>193</v>
      </c>
      <c r="E3" s="102">
        <v>2.7</v>
      </c>
      <c r="F3" s="102" t="s">
        <v>193</v>
      </c>
      <c r="G3" s="103">
        <v>1996</v>
      </c>
      <c r="H3" s="114">
        <v>10.658871796071</v>
      </c>
      <c r="I3" s="114">
        <v>2.1</v>
      </c>
      <c r="J3" s="114">
        <v>8.02932636297537</v>
      </c>
      <c r="K3" s="114">
        <v>27.3186149597168</v>
      </c>
      <c r="L3" s="114">
        <v>5894.99989617425</v>
      </c>
      <c r="M3" s="114" t="s">
        <v>193</v>
      </c>
      <c r="N3" s="114">
        <v>0.8648933257234189</v>
      </c>
      <c r="O3" s="114">
        <v>0.41024800000000006</v>
      </c>
      <c r="P3" s="114">
        <v>0.41097269999999997</v>
      </c>
      <c r="Q3" s="114">
        <v>0.5986193</v>
      </c>
      <c r="R3" s="44">
        <v>8</v>
      </c>
      <c r="S3" s="44" t="s">
        <v>193</v>
      </c>
    </row>
    <row r="4" spans="1:19" ht="12.75">
      <c r="A4" s="44" t="s">
        <v>564</v>
      </c>
      <c r="B4" s="24" t="s">
        <v>136</v>
      </c>
      <c r="C4" s="102">
        <v>0.1</v>
      </c>
      <c r="D4" s="102" t="s">
        <v>193</v>
      </c>
      <c r="E4" s="102" t="s">
        <v>193</v>
      </c>
      <c r="F4" s="102" t="s">
        <v>193</v>
      </c>
      <c r="G4" s="103">
        <v>2002</v>
      </c>
      <c r="H4" s="114">
        <v>4.68246750501788</v>
      </c>
      <c r="I4" s="114">
        <v>2.3154</v>
      </c>
      <c r="J4" s="114" t="s">
        <v>193</v>
      </c>
      <c r="K4" s="114">
        <v>13.1407051086426</v>
      </c>
      <c r="L4" s="114">
        <v>1067.13882121474</v>
      </c>
      <c r="M4" s="114">
        <v>39.51</v>
      </c>
      <c r="N4" s="114">
        <v>-0.4026407083310962</v>
      </c>
      <c r="O4" s="114">
        <v>0.737738</v>
      </c>
      <c r="P4" s="114">
        <v>0.7227772</v>
      </c>
      <c r="Q4" s="114">
        <v>0.5797988</v>
      </c>
      <c r="R4" s="44">
        <v>2</v>
      </c>
      <c r="S4" s="44" t="s">
        <v>193</v>
      </c>
    </row>
    <row r="5" spans="1:19" ht="12.75">
      <c r="A5" s="44" t="s">
        <v>564</v>
      </c>
      <c r="B5" s="24" t="s">
        <v>274</v>
      </c>
      <c r="C5" s="102" t="s">
        <v>193</v>
      </c>
      <c r="D5" s="102">
        <v>4.5</v>
      </c>
      <c r="E5" s="102" t="s">
        <v>193</v>
      </c>
      <c r="F5" s="102" t="s">
        <v>193</v>
      </c>
      <c r="G5" s="103">
        <v>2001</v>
      </c>
      <c r="H5" s="114">
        <v>3.88757756344152</v>
      </c>
      <c r="I5" s="114">
        <v>2.8985</v>
      </c>
      <c r="J5" s="114" t="s">
        <v>193</v>
      </c>
      <c r="K5" s="114">
        <v>15.1685266494751</v>
      </c>
      <c r="L5" s="114">
        <v>878.640604675278</v>
      </c>
      <c r="M5" s="114">
        <v>29.9709</v>
      </c>
      <c r="N5" s="114">
        <v>-1.2540774989317416</v>
      </c>
      <c r="O5" s="114">
        <v>0.723472</v>
      </c>
      <c r="P5" s="114">
        <v>0.8073233</v>
      </c>
      <c r="Q5" s="114">
        <v>0.624868</v>
      </c>
      <c r="R5" s="44">
        <v>3</v>
      </c>
      <c r="S5" s="44" t="s">
        <v>193</v>
      </c>
    </row>
    <row r="6" spans="1:19" ht="12.75">
      <c r="A6" s="44" t="s">
        <v>564</v>
      </c>
      <c r="B6" s="24" t="s">
        <v>194</v>
      </c>
      <c r="C6" s="102">
        <v>1.2</v>
      </c>
      <c r="D6" s="102">
        <v>0.9</v>
      </c>
      <c r="E6" s="102">
        <v>2.1</v>
      </c>
      <c r="F6" s="102">
        <v>42.857142857142854</v>
      </c>
      <c r="G6" s="103">
        <v>2002</v>
      </c>
      <c r="H6" s="114">
        <v>2.85048804766478</v>
      </c>
      <c r="I6" s="114">
        <v>2.728</v>
      </c>
      <c r="J6" s="114">
        <v>7.42932636297537</v>
      </c>
      <c r="K6" s="114">
        <v>8.13525772094727</v>
      </c>
      <c r="L6" s="114">
        <v>768.760678879054</v>
      </c>
      <c r="M6" s="114">
        <v>47.45</v>
      </c>
      <c r="N6" s="114">
        <v>-0.2628670398786786</v>
      </c>
      <c r="O6" s="114">
        <v>0.8791000000000001</v>
      </c>
      <c r="P6" s="114">
        <v>0.020432000000000006</v>
      </c>
      <c r="Q6" s="114">
        <v>0.5190879</v>
      </c>
      <c r="R6" s="44">
        <v>7</v>
      </c>
      <c r="S6" s="44" t="s">
        <v>193</v>
      </c>
    </row>
    <row r="7" spans="1:19" ht="12.75">
      <c r="A7" s="44" t="s">
        <v>564</v>
      </c>
      <c r="B7" s="89" t="s">
        <v>192</v>
      </c>
      <c r="C7" s="102">
        <v>1.66</v>
      </c>
      <c r="D7" s="102">
        <v>4.4</v>
      </c>
      <c r="E7" s="102">
        <v>6.1</v>
      </c>
      <c r="F7" s="102">
        <v>72.13114754098362</v>
      </c>
      <c r="G7" s="103">
        <v>1999</v>
      </c>
      <c r="H7" s="114">
        <v>4.55265504738021</v>
      </c>
      <c r="I7" s="114">
        <v>2.6779</v>
      </c>
      <c r="J7" s="114">
        <v>11.42932636297537</v>
      </c>
      <c r="K7" s="114">
        <v>13.445990562439</v>
      </c>
      <c r="L7" s="114">
        <v>577.156151521158</v>
      </c>
      <c r="M7" s="114">
        <v>39</v>
      </c>
      <c r="N7" s="114">
        <v>-0.13895517376056776</v>
      </c>
      <c r="O7" s="114">
        <v>0.6744</v>
      </c>
      <c r="P7" s="114">
        <v>0.6023255000000001</v>
      </c>
      <c r="Q7" s="114">
        <v>0.8191763</v>
      </c>
      <c r="R7" s="44">
        <v>6</v>
      </c>
      <c r="S7" s="44" t="s">
        <v>193</v>
      </c>
    </row>
    <row r="8" spans="1:19" ht="12.75">
      <c r="A8" s="44" t="s">
        <v>564</v>
      </c>
      <c r="B8" s="24" t="s">
        <v>179</v>
      </c>
      <c r="C8" s="102">
        <v>4.2</v>
      </c>
      <c r="D8" s="102">
        <v>5.3</v>
      </c>
      <c r="E8" s="102">
        <v>9.5</v>
      </c>
      <c r="F8" s="102">
        <v>55.78947368421052</v>
      </c>
      <c r="G8" s="103">
        <v>2001</v>
      </c>
      <c r="H8" s="114">
        <v>3.34733440191417</v>
      </c>
      <c r="I8" s="114">
        <v>2.0482</v>
      </c>
      <c r="J8" s="114">
        <v>14.82932636297537</v>
      </c>
      <c r="K8" s="114">
        <v>12.9108800888062</v>
      </c>
      <c r="L8" s="114">
        <v>10347.9246536883</v>
      </c>
      <c r="M8" s="114" t="s">
        <v>193</v>
      </c>
      <c r="N8" s="114">
        <v>0.7541134668677516</v>
      </c>
      <c r="O8" s="114">
        <v>0.4633999999999999</v>
      </c>
      <c r="P8" s="114">
        <v>0.45467219999999997</v>
      </c>
      <c r="Q8" s="114">
        <v>0.6384659</v>
      </c>
      <c r="R8" s="44">
        <v>10</v>
      </c>
      <c r="S8" s="44" t="s">
        <v>193</v>
      </c>
    </row>
    <row r="9" spans="1:19" ht="12.75">
      <c r="A9" s="44" t="s">
        <v>564</v>
      </c>
      <c r="B9" s="24" t="s">
        <v>138</v>
      </c>
      <c r="C9" s="102">
        <v>0.85</v>
      </c>
      <c r="D9" s="102">
        <v>0.15</v>
      </c>
      <c r="E9" s="102">
        <v>1</v>
      </c>
      <c r="F9" s="102">
        <v>15</v>
      </c>
      <c r="G9" s="103">
        <v>2004</v>
      </c>
      <c r="H9" s="114">
        <v>4.0591758026775</v>
      </c>
      <c r="I9" s="114">
        <v>2.3777</v>
      </c>
      <c r="J9" s="114">
        <v>6.329326362975371</v>
      </c>
      <c r="K9" s="114">
        <v>13.8695440292358</v>
      </c>
      <c r="L9" s="114">
        <v>1677.53203852015</v>
      </c>
      <c r="M9" s="114">
        <v>41.25</v>
      </c>
      <c r="N9" s="114">
        <v>0.06345305107377815</v>
      </c>
      <c r="O9" s="114">
        <v>0.693884</v>
      </c>
      <c r="P9" s="114">
        <v>0.6960835309107918</v>
      </c>
      <c r="Q9" s="114">
        <v>0.1497394</v>
      </c>
      <c r="R9" s="44">
        <v>8</v>
      </c>
      <c r="S9" s="44" t="s">
        <v>193</v>
      </c>
    </row>
    <row r="10" spans="1:19" ht="12.75">
      <c r="A10" s="44" t="s">
        <v>564</v>
      </c>
      <c r="B10" s="24" t="s">
        <v>177</v>
      </c>
      <c r="C10" s="102" t="s">
        <v>193</v>
      </c>
      <c r="D10" s="102">
        <v>3.2</v>
      </c>
      <c r="E10" s="102" t="s">
        <v>193</v>
      </c>
      <c r="F10" s="102" t="s">
        <v>193</v>
      </c>
      <c r="G10" s="103">
        <v>2002</v>
      </c>
      <c r="H10" s="114">
        <v>5.19604265716902</v>
      </c>
      <c r="I10" s="114">
        <v>3.3698</v>
      </c>
      <c r="J10" s="114" t="s">
        <v>193</v>
      </c>
      <c r="K10" s="114">
        <v>18.4210338592529</v>
      </c>
      <c r="L10" s="114">
        <v>9444.74845690803</v>
      </c>
      <c r="M10" s="114">
        <v>57.78</v>
      </c>
      <c r="N10" s="114">
        <v>0.6258819344822485</v>
      </c>
      <c r="O10" s="114">
        <v>0.7517428724324049</v>
      </c>
      <c r="P10" s="114">
        <v>0.86524</v>
      </c>
      <c r="Q10" s="114">
        <v>0.8602599</v>
      </c>
      <c r="R10" s="44">
        <v>9</v>
      </c>
      <c r="S10" s="44">
        <v>5</v>
      </c>
    </row>
    <row r="11" spans="1:17" s="109" customFormat="1" ht="12.75">
      <c r="A11" s="109" t="s">
        <v>564</v>
      </c>
      <c r="B11" s="110" t="s">
        <v>380</v>
      </c>
      <c r="C11" s="112">
        <f>AVERAGE(C$2:C$10)</f>
        <v>1.485</v>
      </c>
      <c r="D11" s="112">
        <f>AVERAGE(D$2:D$10)</f>
        <v>3.0750000000000006</v>
      </c>
      <c r="E11" s="112">
        <f>AVERAGE(E$2:E$10)</f>
        <v>4.279999999999999</v>
      </c>
      <c r="F11" s="112">
        <f>AVERAGE(F$2:F$10)</f>
        <v>46.44444102058425</v>
      </c>
      <c r="G11" s="111"/>
      <c r="H11" s="112">
        <f aca="true" t="shared" si="0" ref="H11:M11">AVERAGE(H$2:H$10)</f>
        <v>4.7067265760346055</v>
      </c>
      <c r="I11" s="112">
        <f t="shared" si="0"/>
        <v>2.5243222222222226</v>
      </c>
      <c r="J11" s="112">
        <f t="shared" si="0"/>
        <v>9.60932636297537</v>
      </c>
      <c r="K11" s="112">
        <f t="shared" si="0"/>
        <v>15.078248023986816</v>
      </c>
      <c r="L11" s="112">
        <f t="shared" si="0"/>
        <v>3525.6236367260713</v>
      </c>
      <c r="M11" s="112">
        <f t="shared" si="0"/>
        <v>41.63409857142857</v>
      </c>
      <c r="N11" s="114"/>
      <c r="O11" s="114"/>
      <c r="P11" s="114"/>
      <c r="Q11" s="114"/>
    </row>
    <row r="12" spans="1:17" s="109" customFormat="1" ht="12.75">
      <c r="A12" s="109" t="s">
        <v>564</v>
      </c>
      <c r="B12" s="110" t="s">
        <v>381</v>
      </c>
      <c r="C12" s="112">
        <f>MEDIAN(C$2:C$10)</f>
        <v>1.05</v>
      </c>
      <c r="D12" s="112">
        <f>MEDIAN(D$2:D$10)</f>
        <v>3.8000000000000003</v>
      </c>
      <c r="E12" s="112">
        <f>MEDIAN(E$2:E$10)</f>
        <v>2.7</v>
      </c>
      <c r="F12" s="112">
        <f>MEDIAN(F$2:F$10)</f>
        <v>49.32330827067669</v>
      </c>
      <c r="G12" s="111"/>
      <c r="H12" s="112">
        <f aca="true" t="shared" si="1" ref="H12:M12">MEDIAN(H$2:H$10)</f>
        <v>4.0591758026775</v>
      </c>
      <c r="I12" s="112">
        <f t="shared" si="1"/>
        <v>2.3777</v>
      </c>
      <c r="J12" s="112">
        <f t="shared" si="1"/>
        <v>8.02932636297537</v>
      </c>
      <c r="K12" s="112">
        <f t="shared" si="1"/>
        <v>13.445990562439</v>
      </c>
      <c r="L12" s="112">
        <f t="shared" si="1"/>
        <v>1073.71142895368</v>
      </c>
      <c r="M12" s="112">
        <f t="shared" si="1"/>
        <v>39.51</v>
      </c>
      <c r="N12" s="114"/>
      <c r="O12" s="114"/>
      <c r="P12" s="114"/>
      <c r="Q12" s="114"/>
    </row>
    <row r="13" spans="1:19" ht="12.75">
      <c r="A13" s="44" t="s">
        <v>563</v>
      </c>
      <c r="B13" s="44" t="s">
        <v>226</v>
      </c>
      <c r="C13" s="102" t="s">
        <v>193</v>
      </c>
      <c r="D13" s="102" t="s">
        <v>193</v>
      </c>
      <c r="E13" s="102">
        <v>0.7</v>
      </c>
      <c r="F13" s="102" t="s">
        <v>193</v>
      </c>
      <c r="G13" s="103">
        <v>2002</v>
      </c>
      <c r="H13" s="114">
        <v>1.7953801179456</v>
      </c>
      <c r="I13" s="114">
        <v>1.9951</v>
      </c>
      <c r="J13" s="114">
        <v>6.02932636297537</v>
      </c>
      <c r="K13" s="114">
        <v>5.44608783721924</v>
      </c>
      <c r="L13" s="114">
        <v>1980.09121015644</v>
      </c>
      <c r="M13" s="114">
        <v>41.71</v>
      </c>
      <c r="N13" s="114">
        <v>-0.772192746329166</v>
      </c>
      <c r="O13" s="114">
        <v>0.2104640000000001</v>
      </c>
      <c r="P13" s="114">
        <v>0.21043940000000005</v>
      </c>
      <c r="Q13" s="114">
        <v>0.0964534</v>
      </c>
      <c r="R13" s="44">
        <v>3</v>
      </c>
      <c r="S13" s="44" t="s">
        <v>193</v>
      </c>
    </row>
    <row r="14" spans="1:19" ht="12.75">
      <c r="A14" s="44" t="s">
        <v>563</v>
      </c>
      <c r="B14" s="44" t="s">
        <v>459</v>
      </c>
      <c r="C14" s="102">
        <v>1.64</v>
      </c>
      <c r="D14" s="102">
        <v>0.43</v>
      </c>
      <c r="E14" s="102">
        <v>2.07</v>
      </c>
      <c r="F14" s="102">
        <v>20.77294685990338</v>
      </c>
      <c r="G14" s="103">
        <v>2006</v>
      </c>
      <c r="H14" s="114" t="s">
        <v>193</v>
      </c>
      <c r="I14" s="114">
        <v>1.786</v>
      </c>
      <c r="J14" s="114" t="s">
        <v>193</v>
      </c>
      <c r="K14" s="114">
        <v>11.0795001983643</v>
      </c>
      <c r="L14" s="114">
        <v>7659.73778718011</v>
      </c>
      <c r="M14" s="114">
        <v>46.9</v>
      </c>
      <c r="N14" s="114">
        <v>-1.6581455070903073</v>
      </c>
      <c r="O14" s="114">
        <v>0.15379034000000014</v>
      </c>
      <c r="P14" s="114">
        <v>0.13269770000000003</v>
      </c>
      <c r="Q14" s="114">
        <v>0.6642963</v>
      </c>
      <c r="R14" s="44">
        <v>0</v>
      </c>
      <c r="S14" s="44">
        <v>7</v>
      </c>
    </row>
    <row r="15" spans="1:19" ht="12.75">
      <c r="A15" s="44" t="s">
        <v>563</v>
      </c>
      <c r="B15" s="24" t="s">
        <v>227</v>
      </c>
      <c r="C15" s="102" t="s">
        <v>193</v>
      </c>
      <c r="D15" s="102">
        <v>1.3</v>
      </c>
      <c r="E15" s="102" t="s">
        <v>193</v>
      </c>
      <c r="F15" s="102" t="s">
        <v>193</v>
      </c>
      <c r="G15" s="103">
        <v>2006</v>
      </c>
      <c r="H15" s="114">
        <v>0.947662296252266</v>
      </c>
      <c r="I15" s="114">
        <v>0.9576</v>
      </c>
      <c r="J15" s="114" t="s">
        <v>193</v>
      </c>
      <c r="K15" s="114">
        <v>7.11333847045898</v>
      </c>
      <c r="L15" s="114">
        <v>4130.35453068402</v>
      </c>
      <c r="M15" s="114">
        <v>34.3079</v>
      </c>
      <c r="N15" s="114">
        <v>-0.24767613523924162</v>
      </c>
      <c r="O15" s="114">
        <v>0.7351340000000001</v>
      </c>
      <c r="P15" s="114">
        <v>0.7679988</v>
      </c>
      <c r="Q15" s="114">
        <v>0.2340266</v>
      </c>
      <c r="R15" s="44">
        <v>8</v>
      </c>
      <c r="S15" s="44">
        <v>7</v>
      </c>
    </row>
    <row r="16" spans="1:19" ht="12.75">
      <c r="A16" s="44" t="s">
        <v>563</v>
      </c>
      <c r="B16" s="24" t="s">
        <v>488</v>
      </c>
      <c r="C16" s="102" t="s">
        <v>193</v>
      </c>
      <c r="D16" s="102" t="s">
        <v>193</v>
      </c>
      <c r="E16" s="102">
        <v>1.9</v>
      </c>
      <c r="F16" s="102" t="s">
        <v>193</v>
      </c>
      <c r="G16" s="103">
        <v>1997</v>
      </c>
      <c r="H16" s="114" t="s">
        <v>193</v>
      </c>
      <c r="I16" s="114">
        <v>2.2176</v>
      </c>
      <c r="J16" s="114" t="s">
        <v>193</v>
      </c>
      <c r="K16" s="114">
        <v>11.554612159729</v>
      </c>
      <c r="L16" s="114">
        <v>14246.6190669912</v>
      </c>
      <c r="M16" s="114" t="s">
        <v>193</v>
      </c>
      <c r="N16" s="114">
        <v>0.6312979960706472</v>
      </c>
      <c r="O16" s="114">
        <v>0.0019979999999997222</v>
      </c>
      <c r="P16" s="114">
        <v>0.0021132000000000373</v>
      </c>
      <c r="Q16" s="114">
        <v>0.6603648</v>
      </c>
      <c r="R16" s="44">
        <v>7</v>
      </c>
      <c r="S16" s="44" t="s">
        <v>193</v>
      </c>
    </row>
    <row r="17" spans="1:19" ht="12.75">
      <c r="A17" s="44" t="s">
        <v>563</v>
      </c>
      <c r="B17" s="24" t="s">
        <v>228</v>
      </c>
      <c r="C17" s="102">
        <v>1.4</v>
      </c>
      <c r="D17" s="102" t="s">
        <v>193</v>
      </c>
      <c r="E17" s="102" t="s">
        <v>193</v>
      </c>
      <c r="F17" s="102" t="s">
        <v>193</v>
      </c>
      <c r="G17" s="103">
        <v>1999</v>
      </c>
      <c r="H17" s="114">
        <v>5.686792316072</v>
      </c>
      <c r="I17" s="114">
        <v>1.7292</v>
      </c>
      <c r="J17" s="114" t="s">
        <v>193</v>
      </c>
      <c r="K17" s="114">
        <v>10.9866876602173</v>
      </c>
      <c r="L17" s="114">
        <v>7882.95466307575</v>
      </c>
      <c r="M17" s="114">
        <v>49.15</v>
      </c>
      <c r="N17" s="114">
        <v>-0.19873999734512443</v>
      </c>
      <c r="O17" s="114">
        <v>0.5879619999999999</v>
      </c>
      <c r="P17" s="114">
        <v>0.5969522</v>
      </c>
      <c r="Q17" s="114">
        <v>0.6656884</v>
      </c>
      <c r="R17" s="44">
        <v>4</v>
      </c>
      <c r="S17" s="44" t="s">
        <v>193</v>
      </c>
    </row>
    <row r="18" spans="1:19" ht="12.75">
      <c r="A18" s="44" t="s">
        <v>563</v>
      </c>
      <c r="B18" s="24" t="s">
        <v>229</v>
      </c>
      <c r="C18" s="102">
        <v>5.9495</v>
      </c>
      <c r="D18" s="102">
        <v>1.3505000000000003</v>
      </c>
      <c r="E18" s="102">
        <v>7.3</v>
      </c>
      <c r="F18" s="102">
        <v>18.5</v>
      </c>
      <c r="G18" s="103">
        <v>2000</v>
      </c>
      <c r="H18" s="114">
        <v>6.66807192025216</v>
      </c>
      <c r="I18" s="114">
        <v>5.9013</v>
      </c>
      <c r="J18" s="114">
        <v>12.62932636297537</v>
      </c>
      <c r="K18" s="114">
        <v>18.0778713226318</v>
      </c>
      <c r="L18" s="114">
        <v>1522.80648006525</v>
      </c>
      <c r="M18" s="114">
        <v>32.8</v>
      </c>
      <c r="N18" s="114">
        <v>0.36813549876143736</v>
      </c>
      <c r="O18" s="114">
        <v>0.36822400000000033</v>
      </c>
      <c r="P18" s="114">
        <v>0.37342790000000003</v>
      </c>
      <c r="Q18" s="114">
        <v>0.0798612</v>
      </c>
      <c r="R18" s="44">
        <v>10</v>
      </c>
      <c r="S18" s="44" t="s">
        <v>193</v>
      </c>
    </row>
    <row r="19" spans="1:19" ht="12.75">
      <c r="A19" s="44" t="s">
        <v>563</v>
      </c>
      <c r="B19" s="24" t="s">
        <v>230</v>
      </c>
      <c r="C19" s="102" t="s">
        <v>193</v>
      </c>
      <c r="D19" s="102">
        <v>0.22</v>
      </c>
      <c r="E19" s="102" t="s">
        <v>193</v>
      </c>
      <c r="F19" s="102" t="s">
        <v>193</v>
      </c>
      <c r="G19" s="103">
        <v>2005</v>
      </c>
      <c r="H19" s="114">
        <v>2.72444668921568</v>
      </c>
      <c r="I19" s="114">
        <v>1.3532</v>
      </c>
      <c r="J19" s="114" t="s">
        <v>193</v>
      </c>
      <c r="K19" s="114">
        <v>9.70115375518799</v>
      </c>
      <c r="L19" s="114">
        <v>5139.62697062609</v>
      </c>
      <c r="M19" s="114">
        <v>44.53</v>
      </c>
      <c r="N19" s="114">
        <v>0.024459912948507512</v>
      </c>
      <c r="O19" s="114">
        <v>0.23854073219701816</v>
      </c>
      <c r="P19" s="114">
        <v>0.8359525</v>
      </c>
      <c r="Q19" s="114">
        <v>0.3055925</v>
      </c>
      <c r="R19" s="44">
        <v>8</v>
      </c>
      <c r="S19" s="44">
        <v>7</v>
      </c>
    </row>
    <row r="20" spans="1:19" ht="12.75">
      <c r="A20" s="44" t="s">
        <v>563</v>
      </c>
      <c r="B20" s="24" t="s">
        <v>231</v>
      </c>
      <c r="C20" s="102" t="s">
        <v>193</v>
      </c>
      <c r="D20" s="102" t="s">
        <v>193</v>
      </c>
      <c r="E20" s="102">
        <v>0.6</v>
      </c>
      <c r="F20" s="102" t="s">
        <v>193</v>
      </c>
      <c r="G20" s="103">
        <v>2001</v>
      </c>
      <c r="H20" s="114">
        <v>5.01636118109279</v>
      </c>
      <c r="I20" s="114">
        <v>1.8612</v>
      </c>
      <c r="J20" s="114">
        <v>5.92932636297537</v>
      </c>
      <c r="K20" s="114">
        <v>11.32008934021</v>
      </c>
      <c r="L20" s="114">
        <v>6552.26531278837</v>
      </c>
      <c r="M20" s="114">
        <v>43.15</v>
      </c>
      <c r="N20" s="114">
        <v>0.5074317909956876</v>
      </c>
      <c r="O20" s="114">
        <v>0.6338239999999999</v>
      </c>
      <c r="P20" s="114">
        <v>0.634444</v>
      </c>
      <c r="Q20" s="114">
        <v>0.099422</v>
      </c>
      <c r="R20" s="44">
        <v>9</v>
      </c>
      <c r="S20" s="44" t="s">
        <v>193</v>
      </c>
    </row>
    <row r="21" spans="1:19" ht="12.75">
      <c r="A21" s="44" t="s">
        <v>563</v>
      </c>
      <c r="B21" s="24" t="s">
        <v>232</v>
      </c>
      <c r="C21" s="102">
        <v>1.5</v>
      </c>
      <c r="D21" s="102">
        <v>1.1</v>
      </c>
      <c r="E21" s="102">
        <v>2.6</v>
      </c>
      <c r="F21" s="102">
        <v>42.30769230769231</v>
      </c>
      <c r="G21" s="103">
        <v>1998</v>
      </c>
      <c r="H21" s="114" t="s">
        <v>193</v>
      </c>
      <c r="I21" s="114">
        <v>1.484</v>
      </c>
      <c r="J21" s="114" t="s">
        <v>193</v>
      </c>
      <c r="K21" s="114">
        <v>7.62374067306519</v>
      </c>
      <c r="L21" s="114">
        <v>1784.59777113479</v>
      </c>
      <c r="M21" s="114">
        <v>35.52</v>
      </c>
      <c r="N21" s="114">
        <v>-1.405633526903629</v>
      </c>
      <c r="O21" s="114">
        <v>0.23830799999999996</v>
      </c>
      <c r="P21" s="114">
        <v>0.2377085</v>
      </c>
      <c r="Q21" s="114">
        <v>0.5080248</v>
      </c>
      <c r="R21" s="44">
        <v>0</v>
      </c>
      <c r="S21" s="44">
        <v>6</v>
      </c>
    </row>
    <row r="22" spans="1:17" s="109" customFormat="1" ht="12.75">
      <c r="A22" s="109" t="s">
        <v>563</v>
      </c>
      <c r="B22" s="110" t="s">
        <v>382</v>
      </c>
      <c r="C22" s="112">
        <f>AVERAGE(C$13:C$21)</f>
        <v>2.622375</v>
      </c>
      <c r="D22" s="112">
        <f>AVERAGE(D$13:D$21)</f>
        <v>0.8801000000000002</v>
      </c>
      <c r="E22" s="112">
        <f>AVERAGE(E$13:E$21)</f>
        <v>2.528333333333333</v>
      </c>
      <c r="F22" s="112">
        <f>AVERAGE(F$13:F$21)</f>
        <v>27.193546389198563</v>
      </c>
      <c r="G22" s="111"/>
      <c r="H22" s="112">
        <f aca="true" t="shared" si="2" ref="H22:M22">AVERAGE(H$13:H$21)</f>
        <v>3.8064524201384162</v>
      </c>
      <c r="I22" s="112">
        <f t="shared" si="2"/>
        <v>2.1427999999999994</v>
      </c>
      <c r="J22" s="112">
        <f t="shared" si="2"/>
        <v>8.195993029642036</v>
      </c>
      <c r="K22" s="112">
        <f t="shared" si="2"/>
        <v>10.3225646018982</v>
      </c>
      <c r="L22" s="112">
        <f t="shared" si="2"/>
        <v>5655.450421411335</v>
      </c>
      <c r="M22" s="112">
        <f t="shared" si="2"/>
        <v>41.0084875</v>
      </c>
      <c r="N22" s="114"/>
      <c r="O22" s="114"/>
      <c r="P22" s="114"/>
      <c r="Q22" s="114"/>
    </row>
    <row r="23" spans="1:17" s="109" customFormat="1" ht="12.75">
      <c r="A23" s="109" t="s">
        <v>563</v>
      </c>
      <c r="B23" s="110" t="s">
        <v>383</v>
      </c>
      <c r="C23" s="112">
        <f>MEDIAN(C$13:C$21)</f>
        <v>1.5699999999999998</v>
      </c>
      <c r="D23" s="112">
        <f>MEDIAN(D$13:D$21)</f>
        <v>1.1</v>
      </c>
      <c r="E23" s="112">
        <f>MEDIAN(E$13:E$21)</f>
        <v>1.9849999999999999</v>
      </c>
      <c r="F23" s="112">
        <f>MEDIAN(F$13:F$21)</f>
        <v>20.77294685990338</v>
      </c>
      <c r="G23" s="111"/>
      <c r="H23" s="112">
        <f aca="true" t="shared" si="3" ref="H23:M23">MEDIAN(H$13:H$21)</f>
        <v>3.8704039351542354</v>
      </c>
      <c r="I23" s="112">
        <f t="shared" si="3"/>
        <v>1.786</v>
      </c>
      <c r="J23" s="112">
        <f t="shared" si="3"/>
        <v>6.02932636297537</v>
      </c>
      <c r="K23" s="112">
        <f t="shared" si="3"/>
        <v>10.9866876602173</v>
      </c>
      <c r="L23" s="112">
        <f t="shared" si="3"/>
        <v>5139.62697062609</v>
      </c>
      <c r="M23" s="112">
        <f t="shared" si="3"/>
        <v>42.43</v>
      </c>
      <c r="N23" s="114"/>
      <c r="O23" s="114"/>
      <c r="P23" s="114"/>
      <c r="Q23" s="114"/>
    </row>
    <row r="24" spans="1:19" ht="12.75">
      <c r="A24" s="44" t="s">
        <v>560</v>
      </c>
      <c r="B24" s="24" t="s">
        <v>203</v>
      </c>
      <c r="C24" s="102">
        <v>5.5</v>
      </c>
      <c r="D24" s="102">
        <v>1.2</v>
      </c>
      <c r="E24" s="102">
        <v>6.7</v>
      </c>
      <c r="F24" s="102">
        <v>17.91044776119403</v>
      </c>
      <c r="G24" s="103">
        <v>2005</v>
      </c>
      <c r="H24" s="114">
        <v>2.86624306463639</v>
      </c>
      <c r="I24" s="114">
        <v>2.9547</v>
      </c>
      <c r="J24" s="114">
        <v>12.02932636297537</v>
      </c>
      <c r="K24" s="114">
        <v>9.34315967559814</v>
      </c>
      <c r="L24" s="114">
        <v>5317.89917944021</v>
      </c>
      <c r="M24" s="114">
        <v>31.1</v>
      </c>
      <c r="N24" s="114">
        <v>-0.037114680769889365</v>
      </c>
      <c r="O24" s="114">
        <v>0.220426</v>
      </c>
      <c r="P24" s="114">
        <v>0.03992479999999998</v>
      </c>
      <c r="Q24" s="114">
        <v>0.4718516</v>
      </c>
      <c r="R24" s="44">
        <v>7</v>
      </c>
      <c r="S24" s="44">
        <v>6</v>
      </c>
    </row>
    <row r="25" spans="1:19" ht="12.75">
      <c r="A25" s="44" t="s">
        <v>560</v>
      </c>
      <c r="B25" s="24" t="s">
        <v>204</v>
      </c>
      <c r="C25" s="102">
        <v>3</v>
      </c>
      <c r="D25" s="102">
        <v>2.1</v>
      </c>
      <c r="E25" s="102">
        <v>5.11</v>
      </c>
      <c r="F25" s="102">
        <v>41.0958904109589</v>
      </c>
      <c r="G25" s="103">
        <v>2002</v>
      </c>
      <c r="H25" s="114">
        <v>3.18338903481153</v>
      </c>
      <c r="I25" s="114">
        <v>1.2744</v>
      </c>
      <c r="J25" s="114">
        <v>10.43932636297537</v>
      </c>
      <c r="K25" s="114">
        <v>9.98704051971436</v>
      </c>
      <c r="L25" s="114">
        <v>3161.43384645668</v>
      </c>
      <c r="M25" s="114">
        <v>33.766</v>
      </c>
      <c r="N25" s="114">
        <v>-0.5150505988756748</v>
      </c>
      <c r="O25" s="114">
        <v>0.1271540000000001</v>
      </c>
      <c r="P25" s="114">
        <v>0.12905350000000004</v>
      </c>
      <c r="Q25" s="114">
        <v>0.4575609</v>
      </c>
      <c r="R25" s="44">
        <v>6</v>
      </c>
      <c r="S25" s="44">
        <v>7</v>
      </c>
    </row>
    <row r="26" spans="1:19" ht="12.75">
      <c r="A26" s="44" t="s">
        <v>560</v>
      </c>
      <c r="B26" s="44" t="s">
        <v>205</v>
      </c>
      <c r="C26" s="102">
        <v>3.7</v>
      </c>
      <c r="D26" s="102">
        <v>1.6</v>
      </c>
      <c r="E26" s="102">
        <v>5.3</v>
      </c>
      <c r="F26" s="102">
        <v>30.188679245283023</v>
      </c>
      <c r="G26" s="103">
        <v>2001</v>
      </c>
      <c r="H26" s="114">
        <v>3.50341936683864</v>
      </c>
      <c r="I26" s="114">
        <v>0.872</v>
      </c>
      <c r="J26" s="114">
        <v>10.62932636297537</v>
      </c>
      <c r="K26" s="114">
        <v>13.6466245651245</v>
      </c>
      <c r="L26" s="114">
        <v>2764.49488416694</v>
      </c>
      <c r="M26" s="114">
        <v>36.5</v>
      </c>
      <c r="N26" s="114">
        <v>-0.9586755159889335</v>
      </c>
      <c r="O26" s="114">
        <v>0.20467199999999997</v>
      </c>
      <c r="P26" s="114">
        <v>0.20539189999999996</v>
      </c>
      <c r="Q26" s="114">
        <v>0.4898947</v>
      </c>
      <c r="R26" s="44">
        <v>0</v>
      </c>
      <c r="S26" s="44">
        <v>5</v>
      </c>
    </row>
    <row r="27" spans="1:19" ht="12.75">
      <c r="A27" s="44" t="s">
        <v>560</v>
      </c>
      <c r="B27" s="44" t="s">
        <v>206</v>
      </c>
      <c r="C27" s="102" t="s">
        <v>193</v>
      </c>
      <c r="D27" s="102" t="s">
        <v>193</v>
      </c>
      <c r="E27" s="102">
        <v>14.4</v>
      </c>
      <c r="F27" s="102" t="s">
        <v>193</v>
      </c>
      <c r="G27" s="103">
        <v>2001</v>
      </c>
      <c r="H27" s="114">
        <v>6.00001354307043</v>
      </c>
      <c r="I27" s="114">
        <v>4.9714</v>
      </c>
      <c r="J27" s="114">
        <v>19.729326362975367</v>
      </c>
      <c r="K27" s="114">
        <v>21.5527687072754</v>
      </c>
      <c r="L27" s="114">
        <v>5168.8774669781</v>
      </c>
      <c r="M27" s="114">
        <v>30.35</v>
      </c>
      <c r="N27" s="114">
        <v>-1.3514078862594654</v>
      </c>
      <c r="O27" s="114">
        <v>0.3221839999999999</v>
      </c>
      <c r="P27" s="114">
        <v>0.46660670000000004</v>
      </c>
      <c r="Q27" s="114">
        <v>0.6116207</v>
      </c>
      <c r="R27" s="44">
        <v>0</v>
      </c>
      <c r="S27" s="44">
        <v>5</v>
      </c>
    </row>
    <row r="28" spans="1:19" ht="12.75">
      <c r="A28" s="44" t="s">
        <v>560</v>
      </c>
      <c r="B28" s="24" t="s">
        <v>207</v>
      </c>
      <c r="C28" s="102">
        <v>8.9</v>
      </c>
      <c r="D28" s="102">
        <v>6.9</v>
      </c>
      <c r="E28" s="102">
        <v>15.8</v>
      </c>
      <c r="F28" s="102">
        <v>43.67088607594937</v>
      </c>
      <c r="G28" s="103">
        <v>2000</v>
      </c>
      <c r="H28" s="114" t="s">
        <v>193</v>
      </c>
      <c r="I28" s="114">
        <v>4.9305</v>
      </c>
      <c r="J28" s="114" t="s">
        <v>193</v>
      </c>
      <c r="K28" s="114" t="s">
        <v>193</v>
      </c>
      <c r="L28" s="114" t="s">
        <v>193</v>
      </c>
      <c r="M28" s="114">
        <v>26.15</v>
      </c>
      <c r="N28" s="114">
        <v>-0.08422349206798252</v>
      </c>
      <c r="O28" s="114">
        <v>0.630038</v>
      </c>
      <c r="P28" s="114">
        <v>0.6751031000000001</v>
      </c>
      <c r="Q28" s="114">
        <v>0.6850857</v>
      </c>
      <c r="R28" s="44">
        <v>-66</v>
      </c>
      <c r="S28" s="44">
        <v>6</v>
      </c>
    </row>
    <row r="29" spans="1:19" ht="12.75">
      <c r="A29" s="44" t="s">
        <v>560</v>
      </c>
      <c r="B29" s="24" t="s">
        <v>208</v>
      </c>
      <c r="C29" s="102">
        <v>9.5</v>
      </c>
      <c r="D29" s="102">
        <v>1.2</v>
      </c>
      <c r="E29" s="102">
        <v>10.7</v>
      </c>
      <c r="F29" s="102">
        <v>11.214953271028037</v>
      </c>
      <c r="G29" s="103">
        <v>2004</v>
      </c>
      <c r="H29" s="114">
        <v>4.24049809784036</v>
      </c>
      <c r="I29" s="114">
        <v>4.608</v>
      </c>
      <c r="J29" s="114">
        <v>16.029326362975368</v>
      </c>
      <c r="K29" s="114">
        <v>18.3096790313721</v>
      </c>
      <c r="L29" s="114">
        <v>8384.71053839353</v>
      </c>
      <c r="M29" s="114">
        <v>29.21</v>
      </c>
      <c r="N29" s="114">
        <v>0.5581649785581742</v>
      </c>
      <c r="O29" s="114">
        <v>0.40211411441405753</v>
      </c>
      <c r="P29" s="114">
        <v>0.30309129999999995</v>
      </c>
      <c r="Q29" s="114">
        <v>0.5965012</v>
      </c>
      <c r="R29" s="44">
        <v>9</v>
      </c>
      <c r="S29" s="44">
        <v>7</v>
      </c>
    </row>
    <row r="30" spans="1:19" ht="12.75">
      <c r="A30" s="44" t="s">
        <v>560</v>
      </c>
      <c r="B30" s="24" t="s">
        <v>209</v>
      </c>
      <c r="C30" s="102">
        <v>12.4</v>
      </c>
      <c r="D30" s="102">
        <v>1.8</v>
      </c>
      <c r="E30" s="102">
        <v>14.2</v>
      </c>
      <c r="F30" s="102">
        <v>12.676056338028168</v>
      </c>
      <c r="G30" s="103">
        <v>2000</v>
      </c>
      <c r="H30" s="114">
        <v>4.49476903620901</v>
      </c>
      <c r="I30" s="114">
        <v>7.776</v>
      </c>
      <c r="J30" s="114">
        <v>19.529326362975368</v>
      </c>
      <c r="K30" s="114">
        <v>24.802978515625</v>
      </c>
      <c r="L30" s="114">
        <v>9115.83498187735</v>
      </c>
      <c r="M30" s="114">
        <v>27.71</v>
      </c>
      <c r="N30" s="114">
        <v>0.4387315630325199</v>
      </c>
      <c r="O30" s="114">
        <v>0.36902599999999997</v>
      </c>
      <c r="P30" s="114">
        <v>0.07628389999999996</v>
      </c>
      <c r="Q30" s="114">
        <v>0.4447331</v>
      </c>
      <c r="R30" s="44">
        <v>7</v>
      </c>
      <c r="S30" s="44">
        <v>5</v>
      </c>
    </row>
    <row r="31" spans="1:19" ht="12.75">
      <c r="A31" s="44" t="s">
        <v>560</v>
      </c>
      <c r="B31" s="24" t="s">
        <v>210</v>
      </c>
      <c r="C31" s="102">
        <v>11.4</v>
      </c>
      <c r="D31" s="102">
        <v>2.4</v>
      </c>
      <c r="E31" s="102">
        <v>13.8</v>
      </c>
      <c r="F31" s="102">
        <v>17.391304347826086</v>
      </c>
      <c r="G31" s="103">
        <v>2000</v>
      </c>
      <c r="H31" s="114">
        <v>4.04030954795436</v>
      </c>
      <c r="I31" s="114">
        <v>5.973</v>
      </c>
      <c r="J31" s="114">
        <v>19.12932636297537</v>
      </c>
      <c r="K31" s="114">
        <v>21.0551586151123</v>
      </c>
      <c r="L31" s="114">
        <v>15450.0676090718</v>
      </c>
      <c r="M31" s="114">
        <v>25.4</v>
      </c>
      <c r="N31" s="114">
        <v>0.8215254855571716</v>
      </c>
      <c r="O31" s="114">
        <v>0.3221639999999998</v>
      </c>
      <c r="P31" s="114">
        <v>0.32334300000000005</v>
      </c>
      <c r="Q31" s="114">
        <v>0.6590906</v>
      </c>
      <c r="R31" s="44">
        <v>10</v>
      </c>
      <c r="S31" s="44">
        <v>5</v>
      </c>
    </row>
    <row r="32" spans="1:19" ht="12.75">
      <c r="A32" s="44" t="s">
        <v>560</v>
      </c>
      <c r="B32" s="24" t="s">
        <v>211</v>
      </c>
      <c r="C32" s="102">
        <v>2.7</v>
      </c>
      <c r="D32" s="102">
        <v>1.5</v>
      </c>
      <c r="E32" s="102">
        <v>4.2</v>
      </c>
      <c r="F32" s="102">
        <v>35.714285714285715</v>
      </c>
      <c r="G32" s="103">
        <v>2000</v>
      </c>
      <c r="H32" s="114">
        <v>2.18106344766274</v>
      </c>
      <c r="I32" s="114">
        <v>1.2455</v>
      </c>
      <c r="J32" s="114">
        <v>9.52932636297537</v>
      </c>
      <c r="K32" s="114">
        <v>8.53881168365479</v>
      </c>
      <c r="L32" s="114">
        <v>1998.37810029739</v>
      </c>
      <c r="M32" s="114">
        <v>38.05</v>
      </c>
      <c r="N32" s="114">
        <v>-0.2422751252929271</v>
      </c>
      <c r="O32" s="114">
        <v>0.4922740000000002</v>
      </c>
      <c r="P32" s="114">
        <v>0.47485200000000005</v>
      </c>
      <c r="Q32" s="114">
        <v>0.6542991</v>
      </c>
      <c r="R32" s="44">
        <v>5</v>
      </c>
      <c r="S32" s="44">
        <v>8</v>
      </c>
    </row>
    <row r="33" spans="1:19" ht="12.75">
      <c r="A33" s="44" t="s">
        <v>560</v>
      </c>
      <c r="B33" s="24" t="s">
        <v>213</v>
      </c>
      <c r="C33" s="102">
        <v>3.2</v>
      </c>
      <c r="D33" s="102">
        <v>2.2</v>
      </c>
      <c r="E33" s="102">
        <v>5.4</v>
      </c>
      <c r="F33" s="102">
        <v>40.74074074074075</v>
      </c>
      <c r="G33" s="103">
        <v>2002</v>
      </c>
      <c r="H33" s="114">
        <v>3.02970320909179</v>
      </c>
      <c r="I33" s="114">
        <v>1.855</v>
      </c>
      <c r="J33" s="114">
        <v>10.729326362975371</v>
      </c>
      <c r="K33" s="114">
        <v>11.609504699707</v>
      </c>
      <c r="L33" s="114">
        <v>5651.93790201176</v>
      </c>
      <c r="M33" s="114">
        <v>31.3</v>
      </c>
      <c r="N33" s="114">
        <v>-1.0782969582087596</v>
      </c>
      <c r="O33" s="114">
        <v>0.617122</v>
      </c>
      <c r="P33" s="114">
        <v>0.6620897</v>
      </c>
      <c r="Q33" s="114">
        <v>0.5898463</v>
      </c>
      <c r="R33" s="44">
        <v>0</v>
      </c>
      <c r="S33" s="44" t="s">
        <v>193</v>
      </c>
    </row>
    <row r="34" spans="1:19" ht="12.75">
      <c r="A34" s="44" t="s">
        <v>560</v>
      </c>
      <c r="B34" s="24" t="s">
        <v>214</v>
      </c>
      <c r="C34" s="102">
        <v>3.3</v>
      </c>
      <c r="D34" s="102">
        <v>2.5</v>
      </c>
      <c r="E34" s="102">
        <v>5.8</v>
      </c>
      <c r="F34" s="102">
        <v>43.10344827586207</v>
      </c>
      <c r="G34" s="103">
        <v>2003</v>
      </c>
      <c r="H34" s="114" t="s">
        <v>193</v>
      </c>
      <c r="I34" s="114" t="s">
        <v>193</v>
      </c>
      <c r="J34" s="114" t="s">
        <v>193</v>
      </c>
      <c r="K34" s="114" t="s">
        <v>193</v>
      </c>
      <c r="L34" s="114" t="s">
        <v>193</v>
      </c>
      <c r="M34" s="114" t="s">
        <v>193</v>
      </c>
      <c r="N34" s="114">
        <v>-0.8800842600374731</v>
      </c>
      <c r="O34" s="114" t="s">
        <v>193</v>
      </c>
      <c r="P34" s="114" t="s">
        <v>193</v>
      </c>
      <c r="Q34" s="114" t="s">
        <v>193</v>
      </c>
      <c r="R34" s="44" t="s">
        <v>193</v>
      </c>
      <c r="S34" s="44" t="s">
        <v>193</v>
      </c>
    </row>
    <row r="35" spans="1:19" ht="12.75">
      <c r="A35" s="44" t="s">
        <v>560</v>
      </c>
      <c r="B35" s="24" t="s">
        <v>215</v>
      </c>
      <c r="C35" s="102">
        <v>5.1</v>
      </c>
      <c r="D35" s="102">
        <v>0.7</v>
      </c>
      <c r="E35" s="102">
        <v>5.8</v>
      </c>
      <c r="F35" s="102">
        <v>12.068965517241379</v>
      </c>
      <c r="G35" s="103">
        <v>2001</v>
      </c>
      <c r="H35" s="114">
        <v>3.09327666502258</v>
      </c>
      <c r="I35" s="114">
        <v>2.2746</v>
      </c>
      <c r="J35" s="114">
        <v>11.12932636297537</v>
      </c>
      <c r="K35" s="114">
        <v>17.4758033752441</v>
      </c>
      <c r="L35" s="114">
        <v>1601.53625086839</v>
      </c>
      <c r="M35" s="114">
        <v>29.03</v>
      </c>
      <c r="N35" s="114">
        <v>-1.1752962520166554</v>
      </c>
      <c r="O35" s="114">
        <v>0.675182</v>
      </c>
      <c r="P35" s="114">
        <v>0.5949289</v>
      </c>
      <c r="Q35" s="114">
        <v>0.4469888</v>
      </c>
      <c r="R35" s="44">
        <v>1</v>
      </c>
      <c r="S35" s="44">
        <v>6</v>
      </c>
    </row>
    <row r="36" spans="1:19" ht="12.75">
      <c r="A36" s="44" t="s">
        <v>560</v>
      </c>
      <c r="B36" s="24" t="s">
        <v>216</v>
      </c>
      <c r="C36" s="102">
        <v>9.935</v>
      </c>
      <c r="D36" s="102">
        <v>1.345</v>
      </c>
      <c r="E36" s="102">
        <v>11.285</v>
      </c>
      <c r="F36" s="102">
        <v>11.918475852902082</v>
      </c>
      <c r="G36" s="103">
        <v>2001</v>
      </c>
      <c r="H36" s="114">
        <v>5.47903226613289</v>
      </c>
      <c r="I36" s="114">
        <v>3.012</v>
      </c>
      <c r="J36" s="114">
        <v>16.61432636297537</v>
      </c>
      <c r="K36" s="114">
        <v>20.465892791748</v>
      </c>
      <c r="L36" s="114">
        <v>8872.95047594749</v>
      </c>
      <c r="M36" s="114">
        <v>37.665</v>
      </c>
      <c r="N36" s="114">
        <v>0.7719656631201892</v>
      </c>
      <c r="O36" s="114">
        <v>0.586668</v>
      </c>
      <c r="P36" s="114">
        <v>0.5795139</v>
      </c>
      <c r="Q36" s="114">
        <v>0.555566</v>
      </c>
      <c r="R36" s="44">
        <v>8</v>
      </c>
      <c r="S36" s="44" t="s">
        <v>193</v>
      </c>
    </row>
    <row r="37" spans="1:19" ht="12.75">
      <c r="A37" s="44" t="s">
        <v>560</v>
      </c>
      <c r="B37" s="24" t="s">
        <v>494</v>
      </c>
      <c r="C37" s="102">
        <v>10.6</v>
      </c>
      <c r="D37" s="102">
        <v>1.4</v>
      </c>
      <c r="E37" s="102">
        <v>12</v>
      </c>
      <c r="F37" s="102">
        <v>11.666666666666666</v>
      </c>
      <c r="G37" s="103">
        <v>2000</v>
      </c>
      <c r="H37" s="114">
        <v>4.12021744028292</v>
      </c>
      <c r="I37" s="114">
        <v>5.28</v>
      </c>
      <c r="J37" s="114">
        <v>17.32932636297537</v>
      </c>
      <c r="K37" s="114">
        <v>18.199161529541</v>
      </c>
      <c r="L37" s="114">
        <v>6055.26837148479</v>
      </c>
      <c r="M37" s="114">
        <v>28.21</v>
      </c>
      <c r="N37" s="114">
        <v>-0.35378430956316353</v>
      </c>
      <c r="O37" s="114">
        <v>0.5022579999999999</v>
      </c>
      <c r="P37" s="114">
        <v>0.5020711</v>
      </c>
      <c r="Q37" s="114">
        <v>0.5899174</v>
      </c>
      <c r="R37" s="44">
        <v>6</v>
      </c>
      <c r="S37" s="44">
        <v>5</v>
      </c>
    </row>
    <row r="38" spans="1:19" ht="12.75">
      <c r="A38" s="44" t="s">
        <v>560</v>
      </c>
      <c r="B38" s="24" t="s">
        <v>217</v>
      </c>
      <c r="C38" s="102">
        <v>7.5342</v>
      </c>
      <c r="D38" s="102">
        <v>1.7</v>
      </c>
      <c r="E38" s="102">
        <v>9.2342</v>
      </c>
      <c r="F38" s="102">
        <v>18.4098243486171</v>
      </c>
      <c r="G38" s="103">
        <v>2005</v>
      </c>
      <c r="H38" s="114">
        <v>4.26703384052119</v>
      </c>
      <c r="I38" s="114" t="s">
        <v>193</v>
      </c>
      <c r="J38" s="114" t="s">
        <v>193</v>
      </c>
      <c r="K38" s="114">
        <v>15.1705617904663</v>
      </c>
      <c r="L38" s="114">
        <v>2298.48132650244</v>
      </c>
      <c r="M38" s="114">
        <v>33.22</v>
      </c>
      <c r="N38" s="114">
        <v>-0.5986059077445273</v>
      </c>
      <c r="O38" s="114">
        <v>0.553478</v>
      </c>
      <c r="P38" s="114">
        <v>0.5533224</v>
      </c>
      <c r="Q38" s="114">
        <v>0.560292</v>
      </c>
      <c r="R38" s="44">
        <v>8</v>
      </c>
      <c r="S38" s="44">
        <v>7</v>
      </c>
    </row>
    <row r="39" spans="1:19" ht="12.75">
      <c r="A39" s="44" t="s">
        <v>560</v>
      </c>
      <c r="B39" s="24" t="s">
        <v>218</v>
      </c>
      <c r="C39" s="102">
        <v>16.34</v>
      </c>
      <c r="D39" s="102">
        <v>1.06</v>
      </c>
      <c r="E39" s="102">
        <v>17.4</v>
      </c>
      <c r="F39" s="102">
        <v>6.0919540229885065</v>
      </c>
      <c r="G39" s="103">
        <v>2000</v>
      </c>
      <c r="H39" s="114">
        <v>4.8287884170085</v>
      </c>
      <c r="I39" s="114">
        <v>3.85</v>
      </c>
      <c r="J39" s="114">
        <v>22.729326362975367</v>
      </c>
      <c r="K39" s="114">
        <v>18.5508670806885</v>
      </c>
      <c r="L39" s="114">
        <v>10772.3617072787</v>
      </c>
      <c r="M39" s="114">
        <v>32.85</v>
      </c>
      <c r="N39" s="114">
        <v>1.1064458381546294</v>
      </c>
      <c r="O39" s="114">
        <v>0.11833953418933477</v>
      </c>
      <c r="P39" s="114">
        <v>0.0468132</v>
      </c>
      <c r="Q39" s="114">
        <v>0.1711816</v>
      </c>
      <c r="R39" s="44">
        <v>9</v>
      </c>
      <c r="S39" s="44">
        <v>7</v>
      </c>
    </row>
    <row r="40" spans="1:19" ht="12.75">
      <c r="A40" s="44" t="s">
        <v>560</v>
      </c>
      <c r="B40" s="89" t="s">
        <v>219</v>
      </c>
      <c r="C40" s="102">
        <v>8.9</v>
      </c>
      <c r="D40" s="102">
        <v>1.1</v>
      </c>
      <c r="E40" s="102">
        <v>10</v>
      </c>
      <c r="F40" s="102">
        <v>11</v>
      </c>
      <c r="G40" s="103">
        <v>2002</v>
      </c>
      <c r="H40" s="114">
        <v>3.52254924653295</v>
      </c>
      <c r="I40" s="114">
        <v>3.6512</v>
      </c>
      <c r="J40" s="114">
        <v>15.32932636297537</v>
      </c>
      <c r="K40" s="114">
        <v>6.8188042640686</v>
      </c>
      <c r="L40" s="114">
        <v>7023.13859928628</v>
      </c>
      <c r="M40" s="114">
        <v>31.046</v>
      </c>
      <c r="N40" s="114">
        <v>0.4881596866772717</v>
      </c>
      <c r="O40" s="114">
        <v>0.30687025701674964</v>
      </c>
      <c r="P40" s="114">
        <v>0.17232780000000003</v>
      </c>
      <c r="Q40" s="114">
        <v>0.2372561</v>
      </c>
      <c r="R40" s="44">
        <v>8</v>
      </c>
      <c r="S40" s="44">
        <v>3</v>
      </c>
    </row>
    <row r="41" spans="1:19" ht="12.75">
      <c r="A41" s="44" t="s">
        <v>560</v>
      </c>
      <c r="B41" s="24" t="s">
        <v>220</v>
      </c>
      <c r="C41" s="102">
        <v>7.2</v>
      </c>
      <c r="D41" s="102">
        <v>1.8</v>
      </c>
      <c r="E41" s="102">
        <v>9</v>
      </c>
      <c r="F41" s="102">
        <v>20</v>
      </c>
      <c r="G41" s="103">
        <v>2006</v>
      </c>
      <c r="H41" s="114">
        <v>3.55178513591049</v>
      </c>
      <c r="I41" s="114">
        <v>3.678</v>
      </c>
      <c r="J41" s="114">
        <v>14.32932636297537</v>
      </c>
      <c r="K41" s="114">
        <v>16.7181854248047</v>
      </c>
      <c r="L41" s="114">
        <v>11974.3285589487</v>
      </c>
      <c r="M41" s="114">
        <v>39.93</v>
      </c>
      <c r="N41" s="114">
        <v>-0.8692263167686313</v>
      </c>
      <c r="O41" s="114">
        <v>0.24517</v>
      </c>
      <c r="P41" s="114">
        <v>0.24851979999999996</v>
      </c>
      <c r="Q41" s="114">
        <v>0.439795</v>
      </c>
      <c r="R41" s="44">
        <v>7</v>
      </c>
      <c r="S41" s="44">
        <v>8</v>
      </c>
    </row>
    <row r="42" spans="1:19" ht="12.75">
      <c r="A42" s="44" t="s">
        <v>560</v>
      </c>
      <c r="B42" s="24" t="s">
        <v>276</v>
      </c>
      <c r="C42" s="102">
        <v>12.6</v>
      </c>
      <c r="D42" s="102">
        <v>1.4</v>
      </c>
      <c r="E42" s="102">
        <v>14</v>
      </c>
      <c r="F42" s="102">
        <v>10</v>
      </c>
      <c r="G42" s="103">
        <v>2005</v>
      </c>
      <c r="H42" s="114" t="s">
        <v>193</v>
      </c>
      <c r="I42" s="114" t="s">
        <v>193</v>
      </c>
      <c r="J42" s="114" t="s">
        <v>193</v>
      </c>
      <c r="K42" s="114">
        <v>20.8696117401123</v>
      </c>
      <c r="L42" s="114" t="s">
        <v>193</v>
      </c>
      <c r="M42" s="114" t="s">
        <v>193</v>
      </c>
      <c r="N42" s="114">
        <v>-0.19324870652203327</v>
      </c>
      <c r="O42" s="114" t="e">
        <v>#N/A</v>
      </c>
      <c r="P42" s="114" t="e">
        <v>#N/A</v>
      </c>
      <c r="Q42" s="114" t="e">
        <v>#N/A</v>
      </c>
      <c r="R42" s="44" t="e">
        <v>#N/A</v>
      </c>
      <c r="S42" s="44">
        <v>6</v>
      </c>
    </row>
    <row r="43" spans="1:19" ht="12.75">
      <c r="A43" s="44" t="s">
        <v>560</v>
      </c>
      <c r="B43" s="24" t="s">
        <v>275</v>
      </c>
      <c r="C43" s="102">
        <v>16</v>
      </c>
      <c r="D43" s="102">
        <v>2</v>
      </c>
      <c r="E43" s="102">
        <v>18</v>
      </c>
      <c r="F43" s="102">
        <v>11.11111111111111</v>
      </c>
      <c r="G43" s="103">
        <v>2002</v>
      </c>
      <c r="H43" s="114" t="s">
        <v>193</v>
      </c>
      <c r="I43" s="114" t="s">
        <v>193</v>
      </c>
      <c r="J43" s="114" t="s">
        <v>193</v>
      </c>
      <c r="K43" s="114">
        <v>25.9853019714355</v>
      </c>
      <c r="L43" s="114" t="s">
        <v>193</v>
      </c>
      <c r="M43" s="114" t="s">
        <v>193</v>
      </c>
      <c r="N43" s="114" t="s">
        <v>170</v>
      </c>
      <c r="O43" s="114" t="e">
        <v>#N/A</v>
      </c>
      <c r="P43" s="114" t="e">
        <v>#N/A</v>
      </c>
      <c r="Q43" s="114" t="e">
        <v>#N/A</v>
      </c>
      <c r="R43" s="44" t="e">
        <v>#N/A</v>
      </c>
      <c r="S43" s="44">
        <v>6</v>
      </c>
    </row>
    <row r="44" spans="1:19" ht="12.75">
      <c r="A44" s="44" t="s">
        <v>560</v>
      </c>
      <c r="B44" s="24" t="s">
        <v>221</v>
      </c>
      <c r="C44" s="102">
        <v>9.4</v>
      </c>
      <c r="D44" s="102">
        <v>3.7</v>
      </c>
      <c r="E44" s="102">
        <v>13.1</v>
      </c>
      <c r="F44" s="102">
        <v>28.24427480916031</v>
      </c>
      <c r="G44" s="103">
        <v>2002</v>
      </c>
      <c r="H44" s="114">
        <v>4.34559372171193</v>
      </c>
      <c r="I44" s="114">
        <v>6.0421</v>
      </c>
      <c r="J44" s="114">
        <v>18.429326362975367</v>
      </c>
      <c r="K44" s="114">
        <v>21.0973796844482</v>
      </c>
      <c r="L44" s="114">
        <v>12750.6936703275</v>
      </c>
      <c r="M44" s="114" t="s">
        <v>193</v>
      </c>
      <c r="N44" s="114">
        <v>1.004612245391909</v>
      </c>
      <c r="O44" s="114">
        <v>0.2538959999999998</v>
      </c>
      <c r="P44" s="114">
        <v>0.25512310000000005</v>
      </c>
      <c r="Q44" s="114">
        <v>0.5654664</v>
      </c>
      <c r="R44" s="44">
        <v>9</v>
      </c>
      <c r="S44" s="44" t="s">
        <v>193</v>
      </c>
    </row>
    <row r="45" spans="1:19" ht="12.75">
      <c r="A45" s="44" t="s">
        <v>560</v>
      </c>
      <c r="B45" s="24" t="s">
        <v>222</v>
      </c>
      <c r="C45" s="102">
        <v>1.8</v>
      </c>
      <c r="D45" s="102">
        <v>0.2</v>
      </c>
      <c r="E45" s="102">
        <v>1.9</v>
      </c>
      <c r="F45" s="102">
        <v>10.526315789473685</v>
      </c>
      <c r="G45" s="103">
        <v>1999</v>
      </c>
      <c r="H45" s="114">
        <v>2.77580474019488</v>
      </c>
      <c r="I45" s="114">
        <v>0.9072</v>
      </c>
      <c r="J45" s="114">
        <v>7.229326362975369</v>
      </c>
      <c r="K45" s="114">
        <v>8.598876953125</v>
      </c>
      <c r="L45" s="114">
        <v>989.185989190642</v>
      </c>
      <c r="M45" s="114">
        <v>32.64</v>
      </c>
      <c r="N45" s="114">
        <v>-1.3182709137721222</v>
      </c>
      <c r="O45" s="114">
        <v>0.510718</v>
      </c>
      <c r="P45" s="114">
        <v>0.5473368000000001</v>
      </c>
      <c r="Q45" s="114">
        <v>0.3385717</v>
      </c>
      <c r="R45" s="44">
        <v>2</v>
      </c>
      <c r="S45" s="44" t="s">
        <v>193</v>
      </c>
    </row>
    <row r="46" spans="1:19" ht="12.75">
      <c r="A46" s="44" t="s">
        <v>560</v>
      </c>
      <c r="B46" s="24" t="s">
        <v>223</v>
      </c>
      <c r="C46" s="102">
        <v>7.2</v>
      </c>
      <c r="D46" s="102">
        <v>2.1</v>
      </c>
      <c r="E46" s="102">
        <v>9.3</v>
      </c>
      <c r="F46" s="102">
        <v>22.580645161290327</v>
      </c>
      <c r="G46" s="103">
        <v>2004</v>
      </c>
      <c r="H46" s="114">
        <v>4</v>
      </c>
      <c r="I46" s="114">
        <v>5.5818142567</v>
      </c>
      <c r="J46" s="114">
        <v>14.629326362975371</v>
      </c>
      <c r="K46" s="114">
        <v>13.1879138946533</v>
      </c>
      <c r="L46" s="114">
        <v>7699.04051666698</v>
      </c>
      <c r="M46" s="114">
        <v>43.638</v>
      </c>
      <c r="N46" s="114">
        <v>-0.08760401189393546</v>
      </c>
      <c r="O46" s="114">
        <v>0.32</v>
      </c>
      <c r="P46" s="114">
        <v>0.22163390000000005</v>
      </c>
      <c r="Q46" s="114">
        <v>0.0048609</v>
      </c>
      <c r="R46" s="44">
        <v>8</v>
      </c>
      <c r="S46" s="44">
        <v>3</v>
      </c>
    </row>
    <row r="47" spans="1:19" ht="12.75">
      <c r="A47" s="44" t="s">
        <v>560</v>
      </c>
      <c r="B47" s="24" t="s">
        <v>224</v>
      </c>
      <c r="C47" s="102">
        <v>9.8</v>
      </c>
      <c r="D47" s="102">
        <v>3.2</v>
      </c>
      <c r="E47" s="102">
        <v>13</v>
      </c>
      <c r="F47" s="102">
        <v>24.615384615384617</v>
      </c>
      <c r="G47" s="103">
        <v>2000</v>
      </c>
      <c r="H47" s="114">
        <v>4.1662256811891</v>
      </c>
      <c r="I47" s="114">
        <v>2.871</v>
      </c>
      <c r="J47" s="114">
        <v>18.32932636297537</v>
      </c>
      <c r="K47" s="114">
        <v>20.9184455871582</v>
      </c>
      <c r="L47" s="114">
        <v>4036.73018097128</v>
      </c>
      <c r="M47" s="114">
        <v>28.96</v>
      </c>
      <c r="N47" s="114">
        <v>-0.5212576407373424</v>
      </c>
      <c r="O47" s="114">
        <v>0.47367199999999987</v>
      </c>
      <c r="P47" s="114">
        <v>0.4741077</v>
      </c>
      <c r="Q47" s="114">
        <v>0.6156578</v>
      </c>
      <c r="R47" s="44">
        <v>6</v>
      </c>
      <c r="S47" s="44">
        <v>9</v>
      </c>
    </row>
    <row r="48" spans="1:19" ht="12.75">
      <c r="A48" s="44" t="s">
        <v>560</v>
      </c>
      <c r="B48" s="24" t="s">
        <v>225</v>
      </c>
      <c r="C48" s="102">
        <v>7</v>
      </c>
      <c r="D48" s="102">
        <v>2</v>
      </c>
      <c r="E48" s="102">
        <v>9</v>
      </c>
      <c r="F48" s="102">
        <v>22.22222222222222</v>
      </c>
      <c r="G48" s="103">
        <v>2000</v>
      </c>
      <c r="H48" s="114" t="s">
        <v>193</v>
      </c>
      <c r="I48" s="114">
        <v>2.6042</v>
      </c>
      <c r="J48" s="114" t="s">
        <v>193</v>
      </c>
      <c r="K48" s="114">
        <v>18.6531162261963</v>
      </c>
      <c r="L48" s="114">
        <v>1497.78346381873</v>
      </c>
      <c r="M48" s="114">
        <v>45.35</v>
      </c>
      <c r="N48" s="114">
        <v>-1.6343763527351765</v>
      </c>
      <c r="O48" s="114">
        <v>0.41251399999999994</v>
      </c>
      <c r="P48" s="114">
        <v>0.4119866</v>
      </c>
      <c r="Q48" s="114">
        <v>0.2132638</v>
      </c>
      <c r="R48" s="44">
        <v>0</v>
      </c>
      <c r="S48" s="44" t="s">
        <v>193</v>
      </c>
    </row>
    <row r="49" spans="1:17" s="109" customFormat="1" ht="12.75">
      <c r="A49" s="109" t="s">
        <v>560</v>
      </c>
      <c r="B49" s="110" t="s">
        <v>384</v>
      </c>
      <c r="C49" s="112">
        <f>AVERAGE(C$24:C$48)</f>
        <v>8.042050000000001</v>
      </c>
      <c r="D49" s="112">
        <f>AVERAGE(D$24:D$48)</f>
        <v>1.9627083333333335</v>
      </c>
      <c r="E49" s="112">
        <f>AVERAGE(E$24:E$48)</f>
        <v>10.177168</v>
      </c>
      <c r="F49" s="112">
        <f>AVERAGE(F$24:F$48)</f>
        <v>21.423438845758923</v>
      </c>
      <c r="G49" s="111"/>
      <c r="H49" s="112">
        <f aca="true" t="shared" si="4" ref="H49:M49">AVERAGE(H$24:H$48)</f>
        <v>3.8844857751311346</v>
      </c>
      <c r="I49" s="112">
        <f t="shared" si="4"/>
        <v>3.629172107461905</v>
      </c>
      <c r="J49" s="112">
        <f t="shared" si="4"/>
        <v>14.939589520870106</v>
      </c>
      <c r="K49" s="112">
        <f t="shared" si="4"/>
        <v>16.589376014211897</v>
      </c>
      <c r="L49" s="112">
        <f t="shared" si="4"/>
        <v>6313.57779142789</v>
      </c>
      <c r="M49" s="112">
        <f t="shared" si="4"/>
        <v>32.95595238095239</v>
      </c>
      <c r="N49" s="114"/>
      <c r="O49" s="114"/>
      <c r="P49" s="114"/>
      <c r="Q49" s="114"/>
    </row>
    <row r="50" spans="1:17" s="109" customFormat="1" ht="12.75">
      <c r="A50" s="109" t="s">
        <v>560</v>
      </c>
      <c r="B50" s="110" t="s">
        <v>385</v>
      </c>
      <c r="C50" s="112">
        <f>MEDIAN(C$24:C$48)</f>
        <v>8.2171</v>
      </c>
      <c r="D50" s="112">
        <f>MEDIAN(D$24:D$48)</f>
        <v>1.75</v>
      </c>
      <c r="E50" s="112">
        <f>MEDIAN(E$24:E$48)</f>
        <v>10</v>
      </c>
      <c r="F50" s="112">
        <f>MEDIAN(F$24:F$48)</f>
        <v>18.160136054905564</v>
      </c>
      <c r="G50" s="111"/>
      <c r="H50" s="112">
        <f aca="true" t="shared" si="5" ref="H50:M50">MEDIAN(H$24:H$48)</f>
        <v>4.02015477397718</v>
      </c>
      <c r="I50" s="112">
        <f t="shared" si="5"/>
        <v>3.6512</v>
      </c>
      <c r="J50" s="112">
        <f t="shared" si="5"/>
        <v>15.32932636297537</v>
      </c>
      <c r="K50" s="112">
        <f t="shared" si="5"/>
        <v>18.199161529541</v>
      </c>
      <c r="L50" s="112">
        <f t="shared" si="5"/>
        <v>5651.93790201176</v>
      </c>
      <c r="M50" s="112">
        <f t="shared" si="5"/>
        <v>31.3</v>
      </c>
      <c r="N50" s="114"/>
      <c r="O50" s="114"/>
      <c r="P50" s="114"/>
      <c r="Q50" s="114"/>
    </row>
    <row r="51" spans="1:19" ht="12.75">
      <c r="A51" s="44" t="s">
        <v>562</v>
      </c>
      <c r="B51" s="24" t="s">
        <v>237</v>
      </c>
      <c r="C51" s="102">
        <v>7.7</v>
      </c>
      <c r="D51" s="102">
        <v>1.5</v>
      </c>
      <c r="E51" s="102">
        <v>9.2</v>
      </c>
      <c r="F51" s="102">
        <v>16.304347826086957</v>
      </c>
      <c r="G51" s="103">
        <v>2004</v>
      </c>
      <c r="H51" s="114">
        <v>3.78121082438652</v>
      </c>
      <c r="I51" s="114">
        <v>4.3488</v>
      </c>
      <c r="J51" s="114">
        <v>14.52932636297537</v>
      </c>
      <c r="K51" s="114">
        <v>11.1306295394897</v>
      </c>
      <c r="L51" s="114">
        <v>12825.7694291429</v>
      </c>
      <c r="M51" s="114">
        <v>51.32</v>
      </c>
      <c r="N51" s="114">
        <v>0.32957957146115446</v>
      </c>
      <c r="O51" s="114">
        <v>0.255</v>
      </c>
      <c r="P51" s="114">
        <v>0.06175419999999998</v>
      </c>
      <c r="Q51" s="114">
        <v>0.2236207</v>
      </c>
      <c r="R51" s="44">
        <v>8</v>
      </c>
      <c r="S51" s="44">
        <v>5</v>
      </c>
    </row>
    <row r="52" spans="1:19" ht="12.75">
      <c r="A52" s="44" t="s">
        <v>562</v>
      </c>
      <c r="B52" s="24" t="s">
        <v>238</v>
      </c>
      <c r="C52" s="102">
        <v>6.3</v>
      </c>
      <c r="D52" s="102">
        <v>2</v>
      </c>
      <c r="E52" s="102">
        <v>8.3</v>
      </c>
      <c r="F52" s="102">
        <v>24.096385542168672</v>
      </c>
      <c r="G52" s="103">
        <v>2002</v>
      </c>
      <c r="H52" s="114">
        <v>6.23030815179751</v>
      </c>
      <c r="I52" s="114">
        <v>4.082</v>
      </c>
      <c r="J52" s="114">
        <v>13.629326362975371</v>
      </c>
      <c r="K52" s="114">
        <v>15.9678897857666</v>
      </c>
      <c r="L52" s="114">
        <v>2489.3714437571</v>
      </c>
      <c r="M52" s="114">
        <v>60.05</v>
      </c>
      <c r="N52" s="114">
        <v>0.07647117036224663</v>
      </c>
      <c r="O52" s="114">
        <v>0.7396250600865246</v>
      </c>
      <c r="P52" s="114">
        <v>0.22398189999999996</v>
      </c>
      <c r="Q52" s="114">
        <v>0.2084686</v>
      </c>
      <c r="R52" s="44">
        <v>9</v>
      </c>
      <c r="S52" s="44" t="s">
        <v>193</v>
      </c>
    </row>
    <row r="53" spans="1:19" ht="12.75">
      <c r="A53" s="44" t="s">
        <v>562</v>
      </c>
      <c r="B53" s="24" t="s">
        <v>239</v>
      </c>
      <c r="C53" s="102">
        <v>11.7</v>
      </c>
      <c r="D53" s="102">
        <v>1.4</v>
      </c>
      <c r="E53" s="102">
        <v>13.1</v>
      </c>
      <c r="F53" s="102">
        <v>10.687022900763358</v>
      </c>
      <c r="G53" s="103">
        <v>2004</v>
      </c>
      <c r="H53" s="114">
        <v>4.40448254995245</v>
      </c>
      <c r="I53" s="114">
        <v>4.7608</v>
      </c>
      <c r="J53" s="114">
        <v>18.429326362975367</v>
      </c>
      <c r="K53" s="114">
        <v>19.2265968322754</v>
      </c>
      <c r="L53" s="114">
        <v>8206.38367748721</v>
      </c>
      <c r="M53" s="114">
        <v>56.99</v>
      </c>
      <c r="N53" s="114">
        <v>0.31281376796423993</v>
      </c>
      <c r="O53" s="114">
        <v>0.540836</v>
      </c>
      <c r="P53" s="114">
        <v>0.04684429999999995</v>
      </c>
      <c r="Q53" s="114">
        <v>0.6054302</v>
      </c>
      <c r="R53" s="44">
        <v>8</v>
      </c>
      <c r="S53" s="44">
        <v>6</v>
      </c>
    </row>
    <row r="54" spans="1:19" ht="12.75">
      <c r="A54" s="44" t="s">
        <v>562</v>
      </c>
      <c r="B54" s="24" t="s">
        <v>240</v>
      </c>
      <c r="C54" s="102">
        <v>6.9</v>
      </c>
      <c r="D54" s="102">
        <v>0.7</v>
      </c>
      <c r="E54" s="102">
        <v>7.6</v>
      </c>
      <c r="F54" s="102">
        <v>9.210526315789473</v>
      </c>
      <c r="G54" s="103">
        <v>2003</v>
      </c>
      <c r="H54" s="114">
        <v>4.06814587215566</v>
      </c>
      <c r="I54" s="114">
        <v>2.898</v>
      </c>
      <c r="J54" s="114">
        <v>12.92932636297537</v>
      </c>
      <c r="K54" s="114">
        <v>12.0145578384399</v>
      </c>
      <c r="L54" s="114">
        <v>10297.7856199113</v>
      </c>
      <c r="M54" s="114">
        <v>54.92</v>
      </c>
      <c r="N54" s="114">
        <v>1.093647145118666</v>
      </c>
      <c r="O54" s="114">
        <v>0.18614599999999992</v>
      </c>
      <c r="P54" s="114">
        <v>0.18707609999999997</v>
      </c>
      <c r="Q54" s="114">
        <v>0.3841057</v>
      </c>
      <c r="R54" s="44">
        <v>9</v>
      </c>
      <c r="S54" s="44">
        <v>3</v>
      </c>
    </row>
    <row r="55" spans="1:19" ht="12.75">
      <c r="A55" s="44" t="s">
        <v>562</v>
      </c>
      <c r="B55" s="44" t="s">
        <v>241</v>
      </c>
      <c r="C55" s="102">
        <v>5.9</v>
      </c>
      <c r="D55" s="102">
        <v>0.6</v>
      </c>
      <c r="E55" s="102">
        <v>6.5</v>
      </c>
      <c r="F55" s="102">
        <v>9.23076923076923</v>
      </c>
      <c r="G55" s="103">
        <v>2004</v>
      </c>
      <c r="H55" s="114">
        <v>4.93491720776597</v>
      </c>
      <c r="I55" s="114">
        <v>6.708</v>
      </c>
      <c r="J55" s="114">
        <v>11.82932636297537</v>
      </c>
      <c r="K55" s="114">
        <v>18.8142242431641</v>
      </c>
      <c r="L55" s="114">
        <v>6906.11437929784</v>
      </c>
      <c r="M55" s="114">
        <v>58.622</v>
      </c>
      <c r="N55" s="114">
        <v>-0.33969292839539683</v>
      </c>
      <c r="O55" s="114">
        <v>0.6014</v>
      </c>
      <c r="P55" s="114">
        <v>0.019268199999999958</v>
      </c>
      <c r="Q55" s="114">
        <v>0.1478351</v>
      </c>
      <c r="R55" s="44">
        <v>7</v>
      </c>
      <c r="S55" s="44">
        <v>7</v>
      </c>
    </row>
    <row r="56" spans="1:19" ht="12.75">
      <c r="A56" s="44" t="s">
        <v>562</v>
      </c>
      <c r="B56" s="44" t="s">
        <v>242</v>
      </c>
      <c r="C56" s="102">
        <v>4.3</v>
      </c>
      <c r="D56" s="102">
        <v>1.5</v>
      </c>
      <c r="E56" s="102">
        <v>5.8</v>
      </c>
      <c r="F56" s="102">
        <v>25.862068965517242</v>
      </c>
      <c r="G56" s="103">
        <v>2004</v>
      </c>
      <c r="H56" s="114">
        <v>4.9211853424862</v>
      </c>
      <c r="I56" s="114">
        <v>5.082</v>
      </c>
      <c r="J56" s="114">
        <v>11.12932636297537</v>
      </c>
      <c r="K56" s="114">
        <v>14.1325950622559</v>
      </c>
      <c r="L56" s="114">
        <v>9503.88108931627</v>
      </c>
      <c r="M56" s="114">
        <v>49.755</v>
      </c>
      <c r="N56" s="114">
        <v>1.0447585984613073</v>
      </c>
      <c r="O56" s="114">
        <v>0.2368</v>
      </c>
      <c r="P56" s="114">
        <v>0.048911600000000055</v>
      </c>
      <c r="Q56" s="114">
        <v>0.2409582</v>
      </c>
      <c r="R56" s="44">
        <v>10</v>
      </c>
      <c r="S56" s="44" t="s">
        <v>193</v>
      </c>
    </row>
    <row r="57" spans="1:19" ht="12.75">
      <c r="A57" s="44" t="s">
        <v>562</v>
      </c>
      <c r="B57" s="44" t="s">
        <v>243</v>
      </c>
      <c r="C57" s="102">
        <v>3.41</v>
      </c>
      <c r="D57" s="102">
        <v>2.15</v>
      </c>
      <c r="E57" s="102">
        <v>5.56</v>
      </c>
      <c r="F57" s="102">
        <v>38.66906474820144</v>
      </c>
      <c r="G57" s="103">
        <v>2000</v>
      </c>
      <c r="H57" s="114">
        <v>4.99418816430469</v>
      </c>
      <c r="I57" s="114">
        <v>4.5632</v>
      </c>
      <c r="J57" s="114">
        <v>10.88932636297537</v>
      </c>
      <c r="K57" s="114">
        <v>21.1565780639648</v>
      </c>
      <c r="L57" s="114">
        <v>5676.58950834537</v>
      </c>
      <c r="M57" s="114" t="s">
        <v>193</v>
      </c>
      <c r="N57" s="114">
        <v>1.046909495553614</v>
      </c>
      <c r="O57" s="114">
        <v>0.20026200000000016</v>
      </c>
      <c r="P57" s="114" t="s">
        <v>175</v>
      </c>
      <c r="Q57" s="114">
        <v>0.4628099</v>
      </c>
      <c r="R57" s="44" t="e">
        <v>#N/A</v>
      </c>
      <c r="S57" s="44" t="s">
        <v>193</v>
      </c>
    </row>
    <row r="58" spans="1:19" ht="12.75">
      <c r="A58" s="44" t="s">
        <v>562</v>
      </c>
      <c r="B58" s="44" t="s">
        <v>244</v>
      </c>
      <c r="C58" s="102">
        <v>0.7</v>
      </c>
      <c r="D58" s="102">
        <v>1.7</v>
      </c>
      <c r="E58" s="102">
        <v>2.4</v>
      </c>
      <c r="F58" s="102">
        <v>70.83333333333334</v>
      </c>
      <c r="G58" s="103">
        <v>2004</v>
      </c>
      <c r="H58" s="114">
        <v>1.15726257749033</v>
      </c>
      <c r="I58" s="114">
        <v>1.896</v>
      </c>
      <c r="J58" s="114">
        <v>7.729326362975369</v>
      </c>
      <c r="K58" s="114">
        <v>8.72616863250732</v>
      </c>
      <c r="L58" s="114">
        <v>7084.28530934992</v>
      </c>
      <c r="M58" s="114">
        <v>51.64</v>
      </c>
      <c r="N58" s="114">
        <v>0.12842913749608986</v>
      </c>
      <c r="O58" s="114">
        <v>0.4294000000000001</v>
      </c>
      <c r="P58" s="114">
        <v>0.03947290000000003</v>
      </c>
      <c r="Q58" s="114">
        <v>0.3118443</v>
      </c>
      <c r="R58" s="44">
        <v>8</v>
      </c>
      <c r="S58" s="44">
        <v>9</v>
      </c>
    </row>
    <row r="59" spans="1:19" ht="12.75">
      <c r="A59" s="44" t="s">
        <v>562</v>
      </c>
      <c r="B59" s="24" t="s">
        <v>245</v>
      </c>
      <c r="C59" s="102">
        <v>1.8</v>
      </c>
      <c r="D59" s="102">
        <v>1.1</v>
      </c>
      <c r="E59" s="102">
        <v>2.9</v>
      </c>
      <c r="F59" s="102">
        <v>37.931034482758626</v>
      </c>
      <c r="G59" s="103">
        <v>2004</v>
      </c>
      <c r="H59" s="114">
        <v>0.97882348813996</v>
      </c>
      <c r="I59" s="114">
        <v>2.2385</v>
      </c>
      <c r="J59" s="114">
        <v>8.22932636297537</v>
      </c>
      <c r="K59" s="114">
        <v>11.3871154785156</v>
      </c>
      <c r="L59" s="114">
        <v>4082.55477526584</v>
      </c>
      <c r="M59" s="114" t="s">
        <v>193</v>
      </c>
      <c r="N59" s="114">
        <v>-0.22459636159736904</v>
      </c>
      <c r="O59" s="114">
        <v>0.655</v>
      </c>
      <c r="P59" s="114">
        <v>0.13081160000000003</v>
      </c>
      <c r="Q59" s="114">
        <v>0.1417125</v>
      </c>
      <c r="R59" s="44">
        <v>6</v>
      </c>
      <c r="S59" s="44" t="s">
        <v>193</v>
      </c>
    </row>
    <row r="60" spans="1:19" ht="12.75">
      <c r="A60" s="44" t="s">
        <v>562</v>
      </c>
      <c r="B60" s="44" t="s">
        <v>127</v>
      </c>
      <c r="C60" s="102">
        <v>4.2</v>
      </c>
      <c r="D60" s="102">
        <v>1</v>
      </c>
      <c r="E60" s="102">
        <v>5.2</v>
      </c>
      <c r="F60" s="102">
        <v>19.23076923076923</v>
      </c>
      <c r="G60" s="103">
        <v>2000</v>
      </c>
      <c r="H60" s="114">
        <v>2.54707979343304</v>
      </c>
      <c r="I60" s="114">
        <v>3.6</v>
      </c>
      <c r="J60" s="114">
        <v>10.52932636297537</v>
      </c>
      <c r="K60" s="114">
        <v>10.17160987854</v>
      </c>
      <c r="L60" s="114">
        <v>4596.74290215997</v>
      </c>
      <c r="M60" s="114">
        <v>51.92</v>
      </c>
      <c r="N60" s="114">
        <v>-0.07568459781618081</v>
      </c>
      <c r="O60" s="114">
        <v>0.19779999999999998</v>
      </c>
      <c r="P60" s="114" t="s">
        <v>175</v>
      </c>
      <c r="Q60" s="114">
        <v>0.3558834</v>
      </c>
      <c r="R60" s="44">
        <v>7</v>
      </c>
      <c r="S60" s="44">
        <v>8</v>
      </c>
    </row>
    <row r="61" spans="1:19" ht="12.75">
      <c r="A61" s="44" t="s">
        <v>562</v>
      </c>
      <c r="B61" s="24" t="s">
        <v>246</v>
      </c>
      <c r="C61" s="102">
        <v>1.8</v>
      </c>
      <c r="D61" s="102">
        <v>1.6</v>
      </c>
      <c r="E61" s="102">
        <v>3.4</v>
      </c>
      <c r="F61" s="102">
        <v>47.05882352941177</v>
      </c>
      <c r="G61" s="103">
        <v>2001</v>
      </c>
      <c r="H61" s="114">
        <v>5.20678307958058</v>
      </c>
      <c r="I61" s="114">
        <v>5.9204</v>
      </c>
      <c r="J61" s="114">
        <v>8.72932636297537</v>
      </c>
      <c r="K61" s="114">
        <v>17.2863788604736</v>
      </c>
      <c r="L61" s="114">
        <v>7039.11683853372</v>
      </c>
      <c r="M61" s="114" t="s">
        <v>193</v>
      </c>
      <c r="N61" s="114">
        <v>0.6117400890787339</v>
      </c>
      <c r="O61" s="114">
        <v>0.26613399999999987</v>
      </c>
      <c r="P61" s="114" t="s">
        <v>175</v>
      </c>
      <c r="Q61" s="114">
        <v>0.5897732</v>
      </c>
      <c r="R61" s="44" t="e">
        <v>#N/A</v>
      </c>
      <c r="S61" s="44" t="s">
        <v>193</v>
      </c>
    </row>
    <row r="62" spans="1:19" ht="12.75">
      <c r="A62" s="44" t="s">
        <v>562</v>
      </c>
      <c r="B62" s="44" t="s">
        <v>247</v>
      </c>
      <c r="C62" s="102">
        <v>0.7</v>
      </c>
      <c r="D62" s="102">
        <v>1.1</v>
      </c>
      <c r="E62" s="102">
        <v>1.8</v>
      </c>
      <c r="F62" s="102">
        <v>61.111111111111114</v>
      </c>
      <c r="G62" s="103">
        <v>2000</v>
      </c>
      <c r="H62" s="114" t="s">
        <v>193</v>
      </c>
      <c r="I62" s="114">
        <v>2.189</v>
      </c>
      <c r="J62" s="114" t="s">
        <v>193</v>
      </c>
      <c r="K62" s="114">
        <v>7.00261497497559</v>
      </c>
      <c r="L62" s="114">
        <v>4048.29632014157</v>
      </c>
      <c r="M62" s="114">
        <v>54.97</v>
      </c>
      <c r="N62" s="114">
        <v>-0.3430414350554414</v>
      </c>
      <c r="O62" s="114">
        <v>0.5122</v>
      </c>
      <c r="P62" s="114">
        <v>0.45859269999999996</v>
      </c>
      <c r="Q62" s="114">
        <v>0.3753242</v>
      </c>
      <c r="R62" s="44">
        <v>8</v>
      </c>
      <c r="S62" s="44" t="s">
        <v>193</v>
      </c>
    </row>
    <row r="63" spans="1:19" ht="12.75">
      <c r="A63" s="44" t="s">
        <v>562</v>
      </c>
      <c r="B63" s="44" t="s">
        <v>248</v>
      </c>
      <c r="C63" s="102" t="s">
        <v>193</v>
      </c>
      <c r="D63" s="102" t="s">
        <v>193</v>
      </c>
      <c r="E63" s="102">
        <v>2</v>
      </c>
      <c r="F63" s="102" t="s">
        <v>193</v>
      </c>
      <c r="G63" s="103">
        <v>2000</v>
      </c>
      <c r="H63" s="114">
        <v>8.48492826103308</v>
      </c>
      <c r="I63" s="114">
        <v>4.6475</v>
      </c>
      <c r="J63" s="114">
        <v>7.329326362975371</v>
      </c>
      <c r="K63" s="114">
        <v>24.6721057891846</v>
      </c>
      <c r="L63" s="114">
        <v>3922.38638668661</v>
      </c>
      <c r="M63" s="114">
        <v>43.2</v>
      </c>
      <c r="N63" s="114">
        <v>0.5486527171658299</v>
      </c>
      <c r="O63" s="114">
        <v>0.6194979999999999</v>
      </c>
      <c r="P63" s="114">
        <v>0.06880359999999996</v>
      </c>
      <c r="Q63" s="114">
        <v>0.7875918</v>
      </c>
      <c r="R63" s="44">
        <v>6</v>
      </c>
      <c r="S63" s="44" t="s">
        <v>193</v>
      </c>
    </row>
    <row r="64" spans="1:19" ht="12.75">
      <c r="A64" s="44" t="s">
        <v>562</v>
      </c>
      <c r="B64" s="44" t="s">
        <v>249</v>
      </c>
      <c r="C64" s="102">
        <v>1.6</v>
      </c>
      <c r="D64" s="102">
        <v>2.5</v>
      </c>
      <c r="E64" s="102">
        <v>4.1</v>
      </c>
      <c r="F64" s="102">
        <v>60.97560975609757</v>
      </c>
      <c r="G64" s="103">
        <v>1999</v>
      </c>
      <c r="H64" s="114" t="s">
        <v>193</v>
      </c>
      <c r="I64" s="114">
        <v>3.5776</v>
      </c>
      <c r="J64" s="114" t="s">
        <v>193</v>
      </c>
      <c r="K64" s="114">
        <v>11.3183565139771</v>
      </c>
      <c r="L64" s="114">
        <v>2725.18922961544</v>
      </c>
      <c r="M64" s="114">
        <v>56.24</v>
      </c>
      <c r="N64" s="114">
        <v>-0.17511534872224516</v>
      </c>
      <c r="O64" s="114">
        <v>0.18669999999999998</v>
      </c>
      <c r="P64" s="114">
        <v>0.05528900000000003</v>
      </c>
      <c r="Q64" s="114">
        <v>0.2357165</v>
      </c>
      <c r="R64" s="44">
        <v>7</v>
      </c>
      <c r="S64" s="44" t="s">
        <v>193</v>
      </c>
    </row>
    <row r="65" spans="1:19" ht="12.75">
      <c r="A65" s="44" t="s">
        <v>562</v>
      </c>
      <c r="B65" s="24" t="s">
        <v>250</v>
      </c>
      <c r="C65" s="102">
        <v>1.01</v>
      </c>
      <c r="D65" s="102">
        <v>0.76</v>
      </c>
      <c r="E65" s="102">
        <v>1.77</v>
      </c>
      <c r="F65" s="102">
        <v>42.93785310734463</v>
      </c>
      <c r="G65" s="103">
        <v>2005</v>
      </c>
      <c r="H65" s="114">
        <v>5.28964376120452</v>
      </c>
      <c r="I65" s="114">
        <v>2.8236</v>
      </c>
      <c r="J65" s="114">
        <v>7.09932636297537</v>
      </c>
      <c r="K65" s="114">
        <v>15.1161613464355</v>
      </c>
      <c r="L65" s="114">
        <v>4292.51924791356</v>
      </c>
      <c r="M65" s="114">
        <v>45.508</v>
      </c>
      <c r="N65" s="114">
        <v>0.43784532243847235</v>
      </c>
      <c r="O65" s="114">
        <v>0.4128940000000001</v>
      </c>
      <c r="P65" s="114">
        <v>0.10980460000000003</v>
      </c>
      <c r="Q65" s="114">
        <v>0.6159606</v>
      </c>
      <c r="R65" s="44">
        <v>9</v>
      </c>
      <c r="S65" s="44" t="s">
        <v>193</v>
      </c>
    </row>
    <row r="66" spans="1:19" ht="12.75">
      <c r="A66" s="44" t="s">
        <v>562</v>
      </c>
      <c r="B66" s="44" t="s">
        <v>251</v>
      </c>
      <c r="C66" s="102">
        <v>2.6</v>
      </c>
      <c r="D66" s="102">
        <v>1</v>
      </c>
      <c r="E66" s="102">
        <v>3.5</v>
      </c>
      <c r="F66" s="102">
        <v>28.57142857142857</v>
      </c>
      <c r="G66" s="103">
        <v>2002</v>
      </c>
      <c r="H66" s="114">
        <v>5.29938345224888</v>
      </c>
      <c r="I66" s="114">
        <v>2.7218</v>
      </c>
      <c r="J66" s="114">
        <v>8.82932636297537</v>
      </c>
      <c r="K66" s="114">
        <v>12.1239643096924</v>
      </c>
      <c r="L66" s="114">
        <v>9518.06460669489</v>
      </c>
      <c r="M66" s="114">
        <v>49.68</v>
      </c>
      <c r="N66" s="114">
        <v>0.2541081641039466</v>
      </c>
      <c r="O66" s="114">
        <v>0.5418000000000001</v>
      </c>
      <c r="P66" s="114">
        <v>0.151119</v>
      </c>
      <c r="Q66" s="114">
        <v>0.1795571</v>
      </c>
      <c r="R66" s="44">
        <v>8</v>
      </c>
      <c r="S66" s="44">
        <v>5</v>
      </c>
    </row>
    <row r="67" spans="1:19" ht="12.75">
      <c r="A67" s="44" t="s">
        <v>562</v>
      </c>
      <c r="B67" s="44" t="s">
        <v>252</v>
      </c>
      <c r="C67" s="102">
        <v>5.4</v>
      </c>
      <c r="D67" s="102">
        <v>1.1</v>
      </c>
      <c r="E67" s="102">
        <v>6.5</v>
      </c>
      <c r="F67" s="102">
        <v>16.923076923076923</v>
      </c>
      <c r="G67" s="103">
        <v>2000</v>
      </c>
      <c r="H67" s="114">
        <v>3.89453891688052</v>
      </c>
      <c r="I67" s="114">
        <v>3.7275</v>
      </c>
      <c r="J67" s="114">
        <v>11.82932636297537</v>
      </c>
      <c r="K67" s="114">
        <v>12.2395496368408</v>
      </c>
      <c r="L67" s="114">
        <v>3131.34072546117</v>
      </c>
      <c r="M67" s="114">
        <v>43.11</v>
      </c>
      <c r="N67" s="114">
        <v>-0.03917535293542797</v>
      </c>
      <c r="O67" s="114">
        <v>0.48440000000000016</v>
      </c>
      <c r="P67" s="114">
        <v>0.04731810000000003</v>
      </c>
      <c r="Q67" s="114">
        <v>0.4290265</v>
      </c>
      <c r="R67" s="44">
        <v>8</v>
      </c>
      <c r="S67" s="44" t="s">
        <v>193</v>
      </c>
    </row>
    <row r="68" spans="1:19" ht="12.75">
      <c r="A68" s="44" t="s">
        <v>562</v>
      </c>
      <c r="B68" s="24" t="s">
        <v>253</v>
      </c>
      <c r="C68" s="102">
        <v>5</v>
      </c>
      <c r="D68" s="102">
        <v>1.7</v>
      </c>
      <c r="E68" s="102">
        <v>6.7</v>
      </c>
      <c r="F68" s="102">
        <v>25.37313432835821</v>
      </c>
      <c r="G68" s="103">
        <v>2005</v>
      </c>
      <c r="H68" s="114">
        <v>3.78258035987464</v>
      </c>
      <c r="I68" s="114">
        <v>5.1513</v>
      </c>
      <c r="J68" s="114">
        <v>12.02932636297537</v>
      </c>
      <c r="K68" s="114">
        <v>13.1354427337646</v>
      </c>
      <c r="L68" s="114">
        <v>7643.8598105469</v>
      </c>
      <c r="M68" s="114">
        <v>56.08</v>
      </c>
      <c r="N68" s="114">
        <v>0.41501167880271145</v>
      </c>
      <c r="O68" s="114">
        <v>0.5528</v>
      </c>
      <c r="P68" s="114">
        <v>0.3873154</v>
      </c>
      <c r="Q68" s="114">
        <v>0.3337609</v>
      </c>
      <c r="R68" s="44">
        <v>9</v>
      </c>
      <c r="S68" s="44" t="s">
        <v>193</v>
      </c>
    </row>
    <row r="69" spans="1:19" ht="12.75">
      <c r="A69" s="44" t="s">
        <v>562</v>
      </c>
      <c r="B69" s="24" t="s">
        <v>128</v>
      </c>
      <c r="C69" s="102">
        <v>1.84</v>
      </c>
      <c r="D69" s="102">
        <v>0.4</v>
      </c>
      <c r="E69" s="102">
        <v>2.24</v>
      </c>
      <c r="F69" s="102">
        <v>17.857142857142858</v>
      </c>
      <c r="G69" s="103">
        <v>2000</v>
      </c>
      <c r="H69" s="114">
        <v>4.85138001498964</v>
      </c>
      <c r="I69" s="114">
        <v>3.3768</v>
      </c>
      <c r="J69" s="114">
        <v>7.569326362975371</v>
      </c>
      <c r="K69" s="114">
        <v>12.7125215530396</v>
      </c>
      <c r="L69" s="114">
        <v>4165.31274669712</v>
      </c>
      <c r="M69" s="114">
        <v>56.85</v>
      </c>
      <c r="N69" s="114">
        <v>-0.5609108403823927</v>
      </c>
      <c r="O69" s="114">
        <v>0.16889999999999994</v>
      </c>
      <c r="P69" s="114">
        <v>0.5975007999999999</v>
      </c>
      <c r="Q69" s="114">
        <v>0.2122512</v>
      </c>
      <c r="R69" s="44">
        <v>7</v>
      </c>
      <c r="S69" s="44" t="s">
        <v>193</v>
      </c>
    </row>
    <row r="70" spans="1:19" ht="12.75">
      <c r="A70" s="44" t="s">
        <v>562</v>
      </c>
      <c r="B70" s="24" t="s">
        <v>254</v>
      </c>
      <c r="C70" s="102">
        <v>3.18</v>
      </c>
      <c r="D70" s="102">
        <v>0.71</v>
      </c>
      <c r="E70" s="102">
        <v>3.89</v>
      </c>
      <c r="F70" s="102">
        <v>18.25192802056555</v>
      </c>
      <c r="G70" s="103">
        <v>2005</v>
      </c>
      <c r="H70" s="114">
        <v>2.38853418666102</v>
      </c>
      <c r="I70" s="114">
        <v>1.9229</v>
      </c>
      <c r="J70" s="114">
        <v>9.21932636297537</v>
      </c>
      <c r="K70" s="114">
        <v>10.0995197296143</v>
      </c>
      <c r="L70" s="114">
        <v>6041.97841053303</v>
      </c>
      <c r="M70" s="114">
        <v>52.02</v>
      </c>
      <c r="N70" s="114">
        <v>0.025587165989914746</v>
      </c>
      <c r="O70" s="114">
        <v>0.656577</v>
      </c>
      <c r="P70" s="114">
        <v>0.3358169</v>
      </c>
      <c r="Q70" s="114">
        <v>0.1987815</v>
      </c>
      <c r="R70" s="44">
        <v>9</v>
      </c>
      <c r="S70" s="44">
        <v>8</v>
      </c>
    </row>
    <row r="71" spans="1:19" ht="12.75">
      <c r="A71" s="44" t="s">
        <v>562</v>
      </c>
      <c r="B71" s="89" t="s">
        <v>256</v>
      </c>
      <c r="C71" s="102">
        <v>2.7</v>
      </c>
      <c r="D71" s="102">
        <v>1</v>
      </c>
      <c r="E71" s="102">
        <v>3.7</v>
      </c>
      <c r="F71" s="102">
        <v>27.027027027027025</v>
      </c>
      <c r="G71" s="103">
        <v>2000</v>
      </c>
      <c r="H71" s="114">
        <v>6.36610832260314</v>
      </c>
      <c r="I71" s="114">
        <v>3.5672</v>
      </c>
      <c r="J71" s="114">
        <v>9.02932636297537</v>
      </c>
      <c r="K71" s="114">
        <v>21.1284236907959</v>
      </c>
      <c r="L71" s="114">
        <v>11132.205476623</v>
      </c>
      <c r="M71" s="114" t="s">
        <v>193</v>
      </c>
      <c r="N71" s="114">
        <v>0.9588024367719197</v>
      </c>
      <c r="O71" s="114">
        <v>0.18419999999999992</v>
      </c>
      <c r="P71" s="114" t="s">
        <v>175</v>
      </c>
      <c r="Q71" s="114">
        <v>0.6614069</v>
      </c>
      <c r="R71" s="44" t="e">
        <v>#N/A</v>
      </c>
      <c r="S71" s="44" t="s">
        <v>193</v>
      </c>
    </row>
    <row r="72" spans="1:19" ht="12.75">
      <c r="A72" s="44" t="s">
        <v>562</v>
      </c>
      <c r="B72" s="24" t="s">
        <v>255</v>
      </c>
      <c r="C72" s="102">
        <v>0.6</v>
      </c>
      <c r="D72" s="102">
        <v>2</v>
      </c>
      <c r="E72" s="102">
        <v>2.6</v>
      </c>
      <c r="F72" s="102">
        <v>76.92307692307692</v>
      </c>
      <c r="G72" s="103">
        <v>2000</v>
      </c>
      <c r="H72" s="114">
        <v>7.54090239829994</v>
      </c>
      <c r="I72" s="114">
        <v>3.3323</v>
      </c>
      <c r="J72" s="114">
        <v>7.92932636297537</v>
      </c>
      <c r="K72" s="114">
        <v>23.2427825927734</v>
      </c>
      <c r="L72" s="114">
        <v>5897.00449648663</v>
      </c>
      <c r="M72" s="114" t="s">
        <v>193</v>
      </c>
      <c r="N72" s="114">
        <v>1.0124851266771262</v>
      </c>
      <c r="O72" s="114">
        <v>0.17686200000000007</v>
      </c>
      <c r="P72" s="114">
        <v>0.3169297</v>
      </c>
      <c r="Q72" s="114">
        <v>0.3320216</v>
      </c>
      <c r="R72" s="44" t="e">
        <v>#N/A</v>
      </c>
      <c r="S72" s="44" t="s">
        <v>193</v>
      </c>
    </row>
    <row r="73" spans="1:19" ht="12.75">
      <c r="A73" s="44" t="s">
        <v>562</v>
      </c>
      <c r="B73" s="24" t="s">
        <v>524</v>
      </c>
      <c r="C73" s="102">
        <v>1.2816</v>
      </c>
      <c r="D73" s="102">
        <v>2.3184</v>
      </c>
      <c r="E73" s="102">
        <v>3.6</v>
      </c>
      <c r="F73" s="102">
        <v>64.4</v>
      </c>
      <c r="G73" s="103">
        <v>2002</v>
      </c>
      <c r="H73" s="114">
        <v>9.85789837892604</v>
      </c>
      <c r="I73" s="114">
        <v>4.0748</v>
      </c>
      <c r="J73" s="114">
        <v>8.92932636297537</v>
      </c>
      <c r="K73" s="114">
        <v>20.9726448059082</v>
      </c>
      <c r="L73" s="114">
        <v>5469.93031014945</v>
      </c>
      <c r="M73" s="114" t="s">
        <v>193</v>
      </c>
      <c r="N73" s="114">
        <v>0.9736955910819424</v>
      </c>
      <c r="O73" s="114">
        <v>0.30659800000000004</v>
      </c>
      <c r="P73" s="114">
        <v>0.017542500000000016</v>
      </c>
      <c r="Q73" s="114">
        <v>0.7027959</v>
      </c>
      <c r="R73" s="44" t="e">
        <v>#N/A</v>
      </c>
      <c r="S73" s="44" t="s">
        <v>193</v>
      </c>
    </row>
    <row r="74" spans="1:19" ht="12.75">
      <c r="A74" s="44" t="s">
        <v>562</v>
      </c>
      <c r="B74" s="44" t="s">
        <v>257</v>
      </c>
      <c r="C74" s="102">
        <v>9.6</v>
      </c>
      <c r="D74" s="102">
        <v>0.5</v>
      </c>
      <c r="E74" s="102">
        <v>10.1</v>
      </c>
      <c r="F74" s="102">
        <v>4.9504950495049505</v>
      </c>
      <c r="G74" s="103">
        <v>2005</v>
      </c>
      <c r="H74" s="114">
        <v>2.5887174483891</v>
      </c>
      <c r="I74" s="114">
        <v>3.567</v>
      </c>
      <c r="J74" s="114">
        <v>15.42932636297537</v>
      </c>
      <c r="K74" s="114">
        <v>11.2864799499512</v>
      </c>
      <c r="L74" s="114">
        <v>10419.1355445793</v>
      </c>
      <c r="M74" s="114">
        <v>44.855</v>
      </c>
      <c r="N74" s="114">
        <v>0.9084532781551837</v>
      </c>
      <c r="O74" s="114">
        <v>0.25040000000000007</v>
      </c>
      <c r="P74" s="114">
        <v>0.08172230000000003</v>
      </c>
      <c r="Q74" s="114">
        <v>0.3548297</v>
      </c>
      <c r="R74" s="44">
        <v>10</v>
      </c>
      <c r="S74" s="44">
        <v>5</v>
      </c>
    </row>
    <row r="75" spans="1:19" ht="12.75">
      <c r="A75" s="44" t="s">
        <v>562</v>
      </c>
      <c r="B75" s="24" t="s">
        <v>534</v>
      </c>
      <c r="C75" s="102">
        <v>1.07</v>
      </c>
      <c r="D75" s="102">
        <v>0.64</v>
      </c>
      <c r="E75" s="102">
        <v>1.71</v>
      </c>
      <c r="F75" s="102">
        <v>37.42690058479533</v>
      </c>
      <c r="G75" s="103">
        <v>1998</v>
      </c>
      <c r="H75" s="114" t="s">
        <v>193</v>
      </c>
      <c r="I75" s="114">
        <v>3.3728</v>
      </c>
      <c r="J75" s="114" t="s">
        <v>193</v>
      </c>
      <c r="K75" s="114">
        <v>13.4677152633667</v>
      </c>
      <c r="L75" s="114">
        <v>5916.67484006095</v>
      </c>
      <c r="M75" s="114">
        <v>49.53</v>
      </c>
      <c r="N75" s="114">
        <v>0.07332615847220178</v>
      </c>
      <c r="O75" s="114">
        <v>0.49660000000000004</v>
      </c>
      <c r="P75" s="114">
        <v>0.06858010000000003</v>
      </c>
      <c r="Q75" s="114">
        <v>0.1350304</v>
      </c>
      <c r="R75" s="44">
        <v>8</v>
      </c>
      <c r="S75" s="44">
        <v>6</v>
      </c>
    </row>
    <row r="76" spans="1:17" s="109" customFormat="1" ht="12.75">
      <c r="A76" s="109" t="s">
        <v>562</v>
      </c>
      <c r="B76" s="110" t="s">
        <v>386</v>
      </c>
      <c r="C76" s="112">
        <f>AVERAGE(C$51:C$75)</f>
        <v>3.803816666666666</v>
      </c>
      <c r="D76" s="112">
        <f>AVERAGE(D$51:D$75)</f>
        <v>1.2907666666666666</v>
      </c>
      <c r="E76" s="112">
        <f>AVERAGE(E$51:E$75)</f>
        <v>4.966799999999999</v>
      </c>
      <c r="F76" s="112">
        <f>AVERAGE(F$51:F$75)</f>
        <v>32.99345543187912</v>
      </c>
      <c r="G76" s="111"/>
      <c r="H76" s="112">
        <f aca="true" t="shared" si="6" ref="H76:M76">AVERAGE(H$51:H$75)</f>
        <v>4.707681934209247</v>
      </c>
      <c r="I76" s="112">
        <f t="shared" si="6"/>
        <v>3.7659920000000007</v>
      </c>
      <c r="J76" s="112">
        <f t="shared" si="6"/>
        <v>10.627508181157188</v>
      </c>
      <c r="K76" s="112">
        <f t="shared" si="6"/>
        <v>14.741305084228511</v>
      </c>
      <c r="L76" s="112">
        <f t="shared" si="6"/>
        <v>6521.299724990281</v>
      </c>
      <c r="M76" s="112">
        <f t="shared" si="6"/>
        <v>51.96105263157895</v>
      </c>
      <c r="N76" s="114"/>
      <c r="O76" s="114"/>
      <c r="P76" s="114"/>
      <c r="Q76" s="114"/>
    </row>
    <row r="77" spans="1:17" s="109" customFormat="1" ht="12.75">
      <c r="A77" s="109" t="s">
        <v>562</v>
      </c>
      <c r="B77" s="110" t="s">
        <v>387</v>
      </c>
      <c r="C77" s="112">
        <f>MEDIAN(C$51:C$75)</f>
        <v>2.9400000000000004</v>
      </c>
      <c r="D77" s="112">
        <f>MEDIAN(D$51:D$75)</f>
        <v>1.1</v>
      </c>
      <c r="E77" s="112">
        <f>MEDIAN(E$51:E$75)</f>
        <v>3.89</v>
      </c>
      <c r="F77" s="112">
        <f>MEDIAN(F$51:F$75)</f>
        <v>26.444547996272135</v>
      </c>
      <c r="G77" s="111"/>
      <c r="H77" s="112">
        <f aca="true" t="shared" si="7" ref="H77:M77">MEDIAN(H$51:H$75)</f>
        <v>4.8862826787379205</v>
      </c>
      <c r="I77" s="112">
        <f t="shared" si="7"/>
        <v>3.5776</v>
      </c>
      <c r="J77" s="112">
        <f t="shared" si="7"/>
        <v>9.87432636297537</v>
      </c>
      <c r="K77" s="112">
        <f t="shared" si="7"/>
        <v>13.1354427337646</v>
      </c>
      <c r="L77" s="112">
        <f t="shared" si="7"/>
        <v>5916.67484006095</v>
      </c>
      <c r="M77" s="112">
        <f t="shared" si="7"/>
        <v>51.92</v>
      </c>
      <c r="N77" s="114"/>
      <c r="O77" s="114"/>
      <c r="P77" s="114"/>
      <c r="Q77" s="114"/>
    </row>
    <row r="78" spans="1:19" ht="12.75">
      <c r="A78" s="44" t="s">
        <v>561</v>
      </c>
      <c r="B78" s="24" t="s">
        <v>196</v>
      </c>
      <c r="C78" s="102">
        <v>5</v>
      </c>
      <c r="D78" s="102">
        <v>3.7</v>
      </c>
      <c r="E78" s="102">
        <v>8.7</v>
      </c>
      <c r="F78" s="102">
        <v>42.52873563218391</v>
      </c>
      <c r="G78" s="103">
        <v>2000</v>
      </c>
      <c r="H78" s="114" t="s">
        <v>193</v>
      </c>
      <c r="I78" s="114">
        <v>2.5655</v>
      </c>
      <c r="J78" s="114" t="s">
        <v>193</v>
      </c>
      <c r="K78" s="114">
        <v>13.5831212997437</v>
      </c>
      <c r="L78" s="114">
        <v>5326.78881308246</v>
      </c>
      <c r="M78" s="114" t="s">
        <v>193</v>
      </c>
      <c r="N78" s="114">
        <v>-1.2416215307511338</v>
      </c>
      <c r="O78" s="114">
        <v>0.3393999999999998</v>
      </c>
      <c r="P78" s="114">
        <v>0.44266190000000005</v>
      </c>
      <c r="Q78" s="114">
        <v>0.0091285</v>
      </c>
      <c r="R78" s="44">
        <v>1</v>
      </c>
      <c r="S78" s="44">
        <v>9</v>
      </c>
    </row>
    <row r="79" spans="1:19" ht="12.75">
      <c r="A79" s="44" t="s">
        <v>561</v>
      </c>
      <c r="B79" s="24" t="s">
        <v>197</v>
      </c>
      <c r="C79" s="102">
        <v>1.39</v>
      </c>
      <c r="D79" s="102" t="s">
        <v>193</v>
      </c>
      <c r="E79" s="102" t="s">
        <v>193</v>
      </c>
      <c r="F79" s="102" t="s">
        <v>193</v>
      </c>
      <c r="G79" s="103">
        <v>2000</v>
      </c>
      <c r="H79" s="114" t="s">
        <v>193</v>
      </c>
      <c r="I79" s="114">
        <v>2.7</v>
      </c>
      <c r="J79" s="114" t="s">
        <v>193</v>
      </c>
      <c r="K79" s="114">
        <v>17.5514698028564</v>
      </c>
      <c r="L79" s="114">
        <v>15545.4745634315</v>
      </c>
      <c r="M79" s="114" t="s">
        <v>193</v>
      </c>
      <c r="N79" s="114">
        <v>-0.9289648020540124</v>
      </c>
      <c r="O79" s="114">
        <v>0.5021300000000001</v>
      </c>
      <c r="P79" s="114">
        <v>0.4343625</v>
      </c>
      <c r="Q79" s="114">
        <v>0.5528251</v>
      </c>
      <c r="R79" s="44">
        <v>0</v>
      </c>
      <c r="S79" s="44" t="s">
        <v>193</v>
      </c>
    </row>
    <row r="80" spans="1:19" ht="12.75">
      <c r="A80" s="44" t="s">
        <v>561</v>
      </c>
      <c r="B80" s="24" t="s">
        <v>198</v>
      </c>
      <c r="C80" s="102">
        <v>5.1</v>
      </c>
      <c r="D80" s="102">
        <v>4.9</v>
      </c>
      <c r="E80" s="102">
        <v>10</v>
      </c>
      <c r="F80" s="102">
        <v>49</v>
      </c>
      <c r="G80" s="103">
        <v>2003</v>
      </c>
      <c r="H80" s="114">
        <v>6.09568723755719</v>
      </c>
      <c r="I80" s="114">
        <v>3.9825</v>
      </c>
      <c r="J80" s="114">
        <v>15.32932636297537</v>
      </c>
      <c r="K80" s="114">
        <v>29.2882633209229</v>
      </c>
      <c r="L80" s="114">
        <v>1993.0071056507</v>
      </c>
      <c r="M80" s="114" t="s">
        <v>193</v>
      </c>
      <c r="N80" s="114">
        <v>-0.7313788028652609</v>
      </c>
      <c r="O80" s="114">
        <v>0.796166</v>
      </c>
      <c r="P80" s="114">
        <v>0.6558025000000001</v>
      </c>
      <c r="Q80" s="114">
        <v>0.0434568</v>
      </c>
      <c r="R80" s="44">
        <v>3</v>
      </c>
      <c r="S80" s="44" t="s">
        <v>193</v>
      </c>
    </row>
    <row r="81" spans="1:19" ht="12.75">
      <c r="A81" s="44" t="s">
        <v>561</v>
      </c>
      <c r="B81" s="24" t="s">
        <v>468</v>
      </c>
      <c r="C81" s="102">
        <v>2.7</v>
      </c>
      <c r="D81" s="102">
        <v>1.61</v>
      </c>
      <c r="E81" s="102">
        <v>4.31</v>
      </c>
      <c r="F81" s="102">
        <v>37.35498839907193</v>
      </c>
      <c r="G81" s="103">
        <v>2000</v>
      </c>
      <c r="H81" s="114" t="s">
        <v>193</v>
      </c>
      <c r="I81" s="114">
        <v>2.268</v>
      </c>
      <c r="J81" s="114" t="s">
        <v>193</v>
      </c>
      <c r="K81" s="114">
        <v>11.2025871276855</v>
      </c>
      <c r="L81" s="114">
        <v>3527.21761224437</v>
      </c>
      <c r="M81" s="114">
        <v>34.41</v>
      </c>
      <c r="N81" s="114">
        <v>-0.8770193728521616</v>
      </c>
      <c r="O81" s="114">
        <v>0.18359199999999998</v>
      </c>
      <c r="P81" s="114">
        <v>0.023699000000000026</v>
      </c>
      <c r="Q81" s="114">
        <v>0.19788</v>
      </c>
      <c r="R81" s="44">
        <v>0</v>
      </c>
      <c r="S81" s="44">
        <v>9</v>
      </c>
    </row>
    <row r="82" spans="1:19" ht="12.75">
      <c r="A82" s="44" t="s">
        <v>561</v>
      </c>
      <c r="B82" s="24" t="s">
        <v>480</v>
      </c>
      <c r="C82" s="102">
        <v>1.12</v>
      </c>
      <c r="D82" s="102">
        <v>2.7</v>
      </c>
      <c r="E82" s="102">
        <v>3.82</v>
      </c>
      <c r="F82" s="102">
        <v>70.68062827225131</v>
      </c>
      <c r="G82" s="103">
        <v>2000</v>
      </c>
      <c r="H82" s="114">
        <v>4.34888261106555</v>
      </c>
      <c r="I82" s="114">
        <v>2.296</v>
      </c>
      <c r="J82" s="114">
        <v>9.14932636297537</v>
      </c>
      <c r="K82" s="114">
        <v>13.8773031234741</v>
      </c>
      <c r="L82" s="114">
        <v>5806.3374985323</v>
      </c>
      <c r="M82" s="114">
        <v>43</v>
      </c>
      <c r="N82" s="114">
        <v>-0.9444674740381677</v>
      </c>
      <c r="O82" s="114">
        <v>0.6683999999999999</v>
      </c>
      <c r="P82" s="114">
        <v>0.7462229</v>
      </c>
      <c r="Q82" s="114">
        <v>0.1151954</v>
      </c>
      <c r="R82" s="44">
        <v>4</v>
      </c>
      <c r="S82" s="44">
        <v>6</v>
      </c>
    </row>
    <row r="83" spans="1:19" s="117" customFormat="1" ht="12.75">
      <c r="A83" s="117" t="s">
        <v>561</v>
      </c>
      <c r="B83" s="118" t="s">
        <v>98</v>
      </c>
      <c r="C83" s="119">
        <v>3.16</v>
      </c>
      <c r="D83" s="119">
        <v>15.94</v>
      </c>
      <c r="E83" s="119">
        <v>19.1</v>
      </c>
      <c r="F83" s="119">
        <v>83.45549738219894</v>
      </c>
      <c r="G83" s="120">
        <v>2004</v>
      </c>
      <c r="H83" s="121" t="s">
        <v>193</v>
      </c>
      <c r="I83" s="121">
        <v>4.1605</v>
      </c>
      <c r="J83" s="121" t="s">
        <v>193</v>
      </c>
      <c r="K83" s="121" t="s">
        <v>193</v>
      </c>
      <c r="L83" s="121" t="s">
        <v>193</v>
      </c>
      <c r="M83" s="121" t="s">
        <v>193</v>
      </c>
      <c r="N83" s="121">
        <v>-1.7573595332995533</v>
      </c>
      <c r="O83" s="121">
        <v>0.3689100000000002</v>
      </c>
      <c r="P83" s="121">
        <v>0.36944730000000003</v>
      </c>
      <c r="Q83" s="121">
        <v>0.4843678</v>
      </c>
      <c r="R83" s="117">
        <v>-66</v>
      </c>
      <c r="S83" s="117">
        <v>5</v>
      </c>
    </row>
    <row r="84" spans="1:19" ht="12.75">
      <c r="A84" s="44" t="s">
        <v>561</v>
      </c>
      <c r="B84" s="44" t="s">
        <v>199</v>
      </c>
      <c r="C84" s="102">
        <v>4</v>
      </c>
      <c r="D84" s="102">
        <v>1.31</v>
      </c>
      <c r="E84" s="102">
        <v>5.31</v>
      </c>
      <c r="F84" s="102">
        <v>24.670433145009415</v>
      </c>
      <c r="G84" s="103">
        <v>2002</v>
      </c>
      <c r="H84" s="114">
        <v>4.94416547862632</v>
      </c>
      <c r="I84" s="114">
        <v>4.6851</v>
      </c>
      <c r="J84" s="114">
        <v>10.639326362975371</v>
      </c>
      <c r="K84" s="114">
        <v>16.2938861846924</v>
      </c>
      <c r="L84" s="114">
        <v>4598.61315832126</v>
      </c>
      <c r="M84" s="114">
        <v>38.838</v>
      </c>
      <c r="N84" s="114">
        <v>-0.7619964853432771</v>
      </c>
      <c r="O84" s="114">
        <v>0.5926</v>
      </c>
      <c r="P84" s="114">
        <v>0.03955580000000003</v>
      </c>
      <c r="Q84" s="114">
        <v>0.0659424</v>
      </c>
      <c r="R84" s="44">
        <v>2</v>
      </c>
      <c r="S84" s="44">
        <v>8</v>
      </c>
    </row>
    <row r="85" spans="1:19" ht="12.75">
      <c r="A85" s="44" t="s">
        <v>561</v>
      </c>
      <c r="B85" s="44" t="s">
        <v>200</v>
      </c>
      <c r="C85" s="102">
        <v>5.9</v>
      </c>
      <c r="D85" s="102" t="s">
        <v>193</v>
      </c>
      <c r="E85" s="102" t="s">
        <v>193</v>
      </c>
      <c r="F85" s="102" t="s">
        <v>193</v>
      </c>
      <c r="G85" s="103">
        <v>1996</v>
      </c>
      <c r="H85" s="114">
        <v>6.58599834425305</v>
      </c>
      <c r="I85" s="114">
        <v>2.4242</v>
      </c>
      <c r="J85" s="114" t="s">
        <v>193</v>
      </c>
      <c r="K85" s="114">
        <v>27.2660751342773</v>
      </c>
      <c r="L85" s="114">
        <v>19470.8382012693</v>
      </c>
      <c r="M85" s="114" t="s">
        <v>193</v>
      </c>
      <c r="N85" s="114">
        <v>-0.5250390562705644</v>
      </c>
      <c r="O85" s="114">
        <v>0.6604</v>
      </c>
      <c r="P85" s="114">
        <v>0.3444357</v>
      </c>
      <c r="Q85" s="114">
        <v>0.674472</v>
      </c>
      <c r="R85" s="44">
        <v>0</v>
      </c>
      <c r="S85" s="44" t="s">
        <v>193</v>
      </c>
    </row>
    <row r="86" spans="1:19" ht="12.75">
      <c r="A86" s="44" t="s">
        <v>561</v>
      </c>
      <c r="B86" s="44" t="s">
        <v>105</v>
      </c>
      <c r="C86" s="102">
        <v>2.5</v>
      </c>
      <c r="D86" s="102">
        <v>0.4</v>
      </c>
      <c r="E86" s="102">
        <v>2.9</v>
      </c>
      <c r="F86" s="102">
        <v>13.793103448275861</v>
      </c>
      <c r="G86" s="103">
        <v>2004</v>
      </c>
      <c r="H86" s="114">
        <v>2.55564172451054</v>
      </c>
      <c r="I86" s="114">
        <v>3.1784</v>
      </c>
      <c r="J86" s="114">
        <v>8.22932636297537</v>
      </c>
      <c r="K86" s="114">
        <v>15.2522478103638</v>
      </c>
      <c r="L86" s="114">
        <v>5387.96705344378</v>
      </c>
      <c r="M86" s="114" t="s">
        <v>193</v>
      </c>
      <c r="N86" s="114">
        <v>-0.5052594127587493</v>
      </c>
      <c r="O86" s="114">
        <v>0.13139999999999985</v>
      </c>
      <c r="P86" s="114">
        <v>0.13122250000000002</v>
      </c>
      <c r="Q86" s="114">
        <v>0.7886458</v>
      </c>
      <c r="R86" s="44">
        <v>-66</v>
      </c>
      <c r="S86" s="44" t="s">
        <v>193</v>
      </c>
    </row>
    <row r="87" spans="1:19" ht="12.75">
      <c r="A87" s="44" t="s">
        <v>561</v>
      </c>
      <c r="B87" s="24" t="s">
        <v>201</v>
      </c>
      <c r="C87" s="102">
        <v>2.77</v>
      </c>
      <c r="D87" s="102">
        <v>1.9</v>
      </c>
      <c r="E87" s="102">
        <v>4.67</v>
      </c>
      <c r="F87" s="102">
        <v>40.685224839400426</v>
      </c>
      <c r="G87" s="103">
        <v>1998</v>
      </c>
      <c r="H87" s="114">
        <v>6.07098437074363</v>
      </c>
      <c r="I87" s="114">
        <v>1.4976</v>
      </c>
      <c r="J87" s="114">
        <v>9.99932636297537</v>
      </c>
      <c r="K87" s="114">
        <v>18.0232696533203</v>
      </c>
      <c r="L87" s="114">
        <v>3477.48275782948</v>
      </c>
      <c r="M87" s="114">
        <v>39.5</v>
      </c>
      <c r="N87" s="114">
        <v>-0.24315667278195197</v>
      </c>
      <c r="O87" s="114">
        <v>0.48405717924597985</v>
      </c>
      <c r="P87" s="114">
        <v>0.468344</v>
      </c>
      <c r="Q87" s="114">
        <v>0.0034627</v>
      </c>
      <c r="R87" s="44">
        <v>0</v>
      </c>
      <c r="S87" s="44" t="s">
        <v>193</v>
      </c>
    </row>
    <row r="88" spans="1:19" ht="12.75">
      <c r="A88" s="44" t="s">
        <v>561</v>
      </c>
      <c r="B88" s="44" t="s">
        <v>526</v>
      </c>
      <c r="C88" s="102">
        <v>0.6</v>
      </c>
      <c r="D88" s="102" t="s">
        <v>193</v>
      </c>
      <c r="E88" s="102" t="s">
        <v>193</v>
      </c>
      <c r="F88" s="102" t="s">
        <v>193</v>
      </c>
      <c r="G88" s="103">
        <v>1999</v>
      </c>
      <c r="H88" s="114" t="s">
        <v>193</v>
      </c>
      <c r="I88" s="114">
        <v>1.9796</v>
      </c>
      <c r="J88" s="114" t="s">
        <v>193</v>
      </c>
      <c r="K88" s="114">
        <v>10.6040592193604</v>
      </c>
      <c r="L88" s="114">
        <v>3090.45164934833</v>
      </c>
      <c r="M88" s="114" t="s">
        <v>193</v>
      </c>
      <c r="N88" s="114">
        <v>-1.503335167358585</v>
      </c>
      <c r="O88" s="114">
        <v>0.539922</v>
      </c>
      <c r="P88" s="114">
        <v>0.1816702</v>
      </c>
      <c r="Q88" s="114">
        <v>0.4309792</v>
      </c>
      <c r="R88" s="44">
        <v>0</v>
      </c>
      <c r="S88" s="44" t="s">
        <v>193</v>
      </c>
    </row>
    <row r="89" spans="1:19" ht="12.75">
      <c r="A89" s="44" t="s">
        <v>561</v>
      </c>
      <c r="B89" s="44" t="s">
        <v>202</v>
      </c>
      <c r="C89" s="102">
        <v>4.2</v>
      </c>
      <c r="D89" s="102">
        <v>2.32</v>
      </c>
      <c r="E89" s="102">
        <v>6.52</v>
      </c>
      <c r="F89" s="102">
        <v>35.58282208588957</v>
      </c>
      <c r="G89" s="103">
        <v>2000</v>
      </c>
      <c r="H89" s="114">
        <v>6.84064990707549</v>
      </c>
      <c r="I89" s="114">
        <v>2.856</v>
      </c>
      <c r="J89" s="114">
        <v>11.84932636297537</v>
      </c>
      <c r="K89" s="114">
        <v>15.5593242645264</v>
      </c>
      <c r="L89" s="114">
        <v>6279.06168425871</v>
      </c>
      <c r="M89" s="114">
        <v>39.8</v>
      </c>
      <c r="N89" s="114">
        <v>-0.704343959300026</v>
      </c>
      <c r="O89" s="114">
        <v>0.0394000000000001</v>
      </c>
      <c r="P89" s="114">
        <v>0.012422000000000044</v>
      </c>
      <c r="Q89" s="114">
        <v>0.0103731</v>
      </c>
      <c r="R89" s="44">
        <v>1</v>
      </c>
      <c r="S89" s="44" t="s">
        <v>193</v>
      </c>
    </row>
    <row r="90" spans="1:19" ht="12.75">
      <c r="A90" s="44" t="s">
        <v>561</v>
      </c>
      <c r="B90" s="44" t="s">
        <v>195</v>
      </c>
      <c r="C90" s="102" t="s">
        <v>193</v>
      </c>
      <c r="D90" s="102" t="s">
        <v>193</v>
      </c>
      <c r="E90" s="102">
        <v>5.7</v>
      </c>
      <c r="F90" s="102" t="s">
        <v>193</v>
      </c>
      <c r="G90" s="103">
        <v>2001</v>
      </c>
      <c r="H90" s="114" t="s">
        <v>193</v>
      </c>
      <c r="I90" s="114" t="s">
        <v>193</v>
      </c>
      <c r="J90" s="114" t="s">
        <v>193</v>
      </c>
      <c r="K90" s="114">
        <v>30.5365123748779</v>
      </c>
      <c r="L90" s="114" t="s">
        <v>193</v>
      </c>
      <c r="M90" s="114" t="s">
        <v>193</v>
      </c>
      <c r="N90" s="114">
        <v>-1.1415398491930682</v>
      </c>
      <c r="O90" s="114" t="s">
        <v>175</v>
      </c>
      <c r="P90" s="114">
        <v>0.14380099999999996</v>
      </c>
      <c r="Q90" s="114">
        <v>0.3095279</v>
      </c>
      <c r="R90" s="44" t="e">
        <v>#N/A</v>
      </c>
      <c r="S90" s="44" t="s">
        <v>193</v>
      </c>
    </row>
    <row r="91" spans="1:19" ht="12.75">
      <c r="A91" s="44" t="s">
        <v>561</v>
      </c>
      <c r="B91" s="44" t="s">
        <v>538</v>
      </c>
      <c r="C91" s="102">
        <v>0.9</v>
      </c>
      <c r="D91" s="102">
        <v>1</v>
      </c>
      <c r="E91" s="102">
        <v>1.9</v>
      </c>
      <c r="F91" s="102">
        <v>52.63157894736842</v>
      </c>
      <c r="G91" s="103">
        <v>1999</v>
      </c>
      <c r="H91" s="114">
        <v>9.86420022940764</v>
      </c>
      <c r="I91" s="114">
        <v>1.8855</v>
      </c>
      <c r="J91" s="114">
        <v>7.229326362975369</v>
      </c>
      <c r="K91" s="114">
        <v>13.4384918212891</v>
      </c>
      <c r="L91" s="114">
        <v>794.741793781517</v>
      </c>
      <c r="M91" s="114">
        <v>33.44</v>
      </c>
      <c r="N91" s="114">
        <v>-0.7668106406425895</v>
      </c>
      <c r="O91" s="114" t="s">
        <v>175</v>
      </c>
      <c r="P91" s="114">
        <v>0.00798169999999998</v>
      </c>
      <c r="Q91" s="114">
        <v>0.0022857</v>
      </c>
      <c r="R91" s="44">
        <v>1</v>
      </c>
      <c r="S91" s="44" t="s">
        <v>193</v>
      </c>
    </row>
    <row r="92" spans="1:17" s="109" customFormat="1" ht="12.75">
      <c r="A92" s="109" t="s">
        <v>561</v>
      </c>
      <c r="B92" s="109" t="s">
        <v>388</v>
      </c>
      <c r="C92" s="112">
        <f>AVERAGE(C$78:C$82,C$84:C$91)</f>
        <v>3.015</v>
      </c>
      <c r="D92" s="112">
        <f aca="true" t="shared" si="8" ref="D92:M92">AVERAGE(D$78:D$82,D$84:D$91)</f>
        <v>2.2044444444444444</v>
      </c>
      <c r="E92" s="112">
        <f t="shared" si="8"/>
        <v>5.383000000000001</v>
      </c>
      <c r="F92" s="112">
        <f t="shared" si="8"/>
        <v>40.76972386327232</v>
      </c>
      <c r="G92" s="111"/>
      <c r="H92" s="112">
        <f t="shared" si="8"/>
        <v>5.913276237904926</v>
      </c>
      <c r="I92" s="112">
        <f t="shared" si="8"/>
        <v>2.6932000000000005</v>
      </c>
      <c r="J92" s="112">
        <f t="shared" si="8"/>
        <v>10.346469220118227</v>
      </c>
      <c r="K92" s="112">
        <f t="shared" si="8"/>
        <v>17.882816241337704</v>
      </c>
      <c r="L92" s="112">
        <f t="shared" si="8"/>
        <v>6274.831824266142</v>
      </c>
      <c r="M92" s="112">
        <f t="shared" si="8"/>
        <v>38.16466666666667</v>
      </c>
      <c r="N92" s="114"/>
      <c r="O92" s="114"/>
      <c r="P92" s="114"/>
      <c r="Q92" s="114"/>
    </row>
    <row r="93" spans="1:17" s="109" customFormat="1" ht="12.75">
      <c r="A93" s="109" t="s">
        <v>561</v>
      </c>
      <c r="B93" s="109" t="s">
        <v>389</v>
      </c>
      <c r="C93" s="112">
        <f>MEDIAN(C$78:C$82,C$84:C$91)</f>
        <v>2.7350000000000003</v>
      </c>
      <c r="D93" s="112">
        <f aca="true" t="shared" si="9" ref="D93:M93">MEDIAN(D$78:D$82,D$84:D$91)</f>
        <v>1.9</v>
      </c>
      <c r="E93" s="112">
        <f t="shared" si="9"/>
        <v>4.99</v>
      </c>
      <c r="F93" s="112">
        <f t="shared" si="9"/>
        <v>40.685224839400426</v>
      </c>
      <c r="G93" s="111"/>
      <c r="H93" s="112">
        <f t="shared" si="9"/>
        <v>6.08333580415041</v>
      </c>
      <c r="I93" s="112">
        <f t="shared" si="9"/>
        <v>2.49485</v>
      </c>
      <c r="J93" s="112">
        <f t="shared" si="9"/>
        <v>9.99932636297537</v>
      </c>
      <c r="K93" s="112">
        <f t="shared" si="9"/>
        <v>15.5593242645264</v>
      </c>
      <c r="L93" s="112">
        <f t="shared" si="9"/>
        <v>4962.70098570186</v>
      </c>
      <c r="M93" s="112">
        <f t="shared" si="9"/>
        <v>39.169</v>
      </c>
      <c r="N93" s="114"/>
      <c r="O93" s="114"/>
      <c r="P93" s="114"/>
      <c r="Q93" s="114"/>
    </row>
    <row r="94" spans="1:19" ht="12.75">
      <c r="A94" s="44" t="s">
        <v>559</v>
      </c>
      <c r="B94" s="24" t="s">
        <v>234</v>
      </c>
      <c r="C94" s="102">
        <v>1.3</v>
      </c>
      <c r="D94" s="102">
        <v>0.7</v>
      </c>
      <c r="E94" s="102">
        <v>2</v>
      </c>
      <c r="F94" s="102">
        <v>35</v>
      </c>
      <c r="G94" s="103">
        <v>2004</v>
      </c>
      <c r="H94" s="114">
        <v>2.2482858695</v>
      </c>
      <c r="I94" s="114">
        <v>0.8711</v>
      </c>
      <c r="J94" s="114">
        <v>7.329326362975371</v>
      </c>
      <c r="K94" s="114">
        <v>5.52798414230347</v>
      </c>
      <c r="L94" s="114">
        <v>1917.28034863584</v>
      </c>
      <c r="M94" s="114">
        <v>33.4</v>
      </c>
      <c r="N94" s="114">
        <v>-0.6643140562762215</v>
      </c>
      <c r="O94" s="114">
        <v>0.045433999999999974</v>
      </c>
      <c r="P94" s="114">
        <v>0.09248520000000005</v>
      </c>
      <c r="Q94" s="114">
        <v>0.2090498</v>
      </c>
      <c r="R94" s="44">
        <v>6</v>
      </c>
      <c r="S94" s="44">
        <v>8</v>
      </c>
    </row>
    <row r="95" spans="1:19" ht="12.75">
      <c r="A95" s="44" t="s">
        <v>559</v>
      </c>
      <c r="B95" s="44" t="s">
        <v>109</v>
      </c>
      <c r="C95" s="102">
        <v>2.1</v>
      </c>
      <c r="D95" s="102">
        <v>2.2</v>
      </c>
      <c r="E95" s="102">
        <v>4.3</v>
      </c>
      <c r="F95" s="102">
        <v>51.16279069767441</v>
      </c>
      <c r="G95" s="103">
        <v>2004</v>
      </c>
      <c r="H95" s="114">
        <v>3.7604976657442</v>
      </c>
      <c r="I95" s="114">
        <v>0.865</v>
      </c>
      <c r="J95" s="114">
        <v>9.62932636297537</v>
      </c>
      <c r="K95" s="114">
        <v>10.9557485580444</v>
      </c>
      <c r="L95" s="114">
        <v>3110.37730393536</v>
      </c>
      <c r="M95" s="114">
        <v>36.8</v>
      </c>
      <c r="N95" s="114">
        <v>0.3899257827515208</v>
      </c>
      <c r="O95" s="114">
        <v>0.4182</v>
      </c>
      <c r="P95" s="114">
        <v>0.8069049</v>
      </c>
      <c r="Q95" s="114">
        <v>0.3260226</v>
      </c>
      <c r="R95" s="44">
        <v>9</v>
      </c>
      <c r="S95" s="44">
        <v>3</v>
      </c>
    </row>
    <row r="96" spans="1:19" ht="12.75">
      <c r="A96" s="44" t="s">
        <v>559</v>
      </c>
      <c r="B96" s="24" t="s">
        <v>87</v>
      </c>
      <c r="C96" s="102">
        <v>0.2</v>
      </c>
      <c r="D96" s="102">
        <v>0.2</v>
      </c>
      <c r="E96" s="102">
        <v>0.4</v>
      </c>
      <c r="F96" s="102">
        <v>50</v>
      </c>
      <c r="G96" s="103">
        <v>2004</v>
      </c>
      <c r="H96" s="114">
        <v>7.15215277385229</v>
      </c>
      <c r="I96" s="114">
        <v>6.2678</v>
      </c>
      <c r="J96" s="114">
        <v>5.729326362975369</v>
      </c>
      <c r="K96" s="114">
        <v>24.2013549804688</v>
      </c>
      <c r="L96" s="114" t="s">
        <v>193</v>
      </c>
      <c r="M96" s="114" t="s">
        <v>193</v>
      </c>
      <c r="N96" s="114">
        <v>-1.0948377876881479</v>
      </c>
      <c r="O96" s="114" t="e">
        <v>#N/A</v>
      </c>
      <c r="P96" s="114" t="e">
        <v>#N/A</v>
      </c>
      <c r="Q96" s="114" t="e">
        <v>#N/A</v>
      </c>
      <c r="R96" s="44" t="e">
        <v>#N/A</v>
      </c>
      <c r="S96" s="44" t="s">
        <v>193</v>
      </c>
    </row>
    <row r="97" spans="1:19" ht="12.75">
      <c r="A97" s="44" t="s">
        <v>559</v>
      </c>
      <c r="B97" s="24" t="s">
        <v>235</v>
      </c>
      <c r="C97" s="102">
        <v>1.4</v>
      </c>
      <c r="D97" s="102">
        <v>0.4</v>
      </c>
      <c r="E97" s="102">
        <v>1.8</v>
      </c>
      <c r="F97" s="102">
        <v>22.222222222222225</v>
      </c>
      <c r="G97" s="103">
        <v>2004</v>
      </c>
      <c r="H97" s="114">
        <v>1.96974738091724</v>
      </c>
      <c r="I97" s="114">
        <v>0.4312</v>
      </c>
      <c r="J97" s="114">
        <v>7.12932636297537</v>
      </c>
      <c r="K97" s="114">
        <v>8.19883728027344</v>
      </c>
      <c r="L97" s="114">
        <v>2208.55340066085</v>
      </c>
      <c r="M97" s="114">
        <v>30.5647</v>
      </c>
      <c r="N97" s="114">
        <v>-1.1709441415216166</v>
      </c>
      <c r="O97" s="114">
        <v>0.7097999999999999</v>
      </c>
      <c r="P97" s="114">
        <v>0.7190371</v>
      </c>
      <c r="Q97" s="114">
        <v>0.3848287</v>
      </c>
      <c r="R97" s="44">
        <v>0</v>
      </c>
      <c r="S97" s="44">
        <v>4</v>
      </c>
    </row>
    <row r="98" spans="1:19" ht="12.75">
      <c r="A98" s="44" t="s">
        <v>559</v>
      </c>
      <c r="B98" s="24" t="s">
        <v>236</v>
      </c>
      <c r="C98" s="102">
        <v>2</v>
      </c>
      <c r="D98" s="102">
        <v>1</v>
      </c>
      <c r="E98" s="102">
        <v>3</v>
      </c>
      <c r="F98" s="102">
        <v>33.33333333333333</v>
      </c>
      <c r="G98" s="103">
        <v>2004</v>
      </c>
      <c r="H98" s="114" t="s">
        <v>193</v>
      </c>
      <c r="I98" s="114">
        <v>1.9608</v>
      </c>
      <c r="J98" s="114" t="s">
        <v>193</v>
      </c>
      <c r="K98" s="114">
        <v>8.11662769317627</v>
      </c>
      <c r="L98" s="114">
        <v>4276.43326515057</v>
      </c>
      <c r="M98" s="114">
        <v>40.17</v>
      </c>
      <c r="N98" s="114">
        <v>-0.2379091056675202</v>
      </c>
      <c r="O98" s="114">
        <v>0.415</v>
      </c>
      <c r="P98" s="114">
        <v>0.4644557</v>
      </c>
      <c r="Q98" s="114">
        <v>0.4852962</v>
      </c>
      <c r="R98" s="44">
        <v>6</v>
      </c>
      <c r="S98" s="44" t="s">
        <v>193</v>
      </c>
    </row>
    <row r="99" spans="1:17" s="109" customFormat="1" ht="12.75">
      <c r="A99" s="109" t="s">
        <v>559</v>
      </c>
      <c r="B99" s="110" t="s">
        <v>390</v>
      </c>
      <c r="C99" s="112">
        <f>AVERAGE(C$94:C$98)</f>
        <v>1.4</v>
      </c>
      <c r="D99" s="112">
        <f>AVERAGE(D$94:D$98)</f>
        <v>0.9</v>
      </c>
      <c r="E99" s="112">
        <f>AVERAGE(E$94:E$98)</f>
        <v>2.3</v>
      </c>
      <c r="F99" s="112">
        <f>AVERAGE(F$94:F$98)</f>
        <v>38.343669250645995</v>
      </c>
      <c r="G99" s="111"/>
      <c r="H99" s="112">
        <f aca="true" t="shared" si="10" ref="H99:M99">AVERAGE(H$94:H$98)</f>
        <v>3.7826709225034327</v>
      </c>
      <c r="I99" s="112">
        <f t="shared" si="10"/>
        <v>2.07918</v>
      </c>
      <c r="J99" s="112">
        <f t="shared" si="10"/>
        <v>7.454326362975371</v>
      </c>
      <c r="K99" s="112">
        <f t="shared" si="10"/>
        <v>11.400110530853276</v>
      </c>
      <c r="L99" s="112">
        <f t="shared" si="10"/>
        <v>2878.161079595655</v>
      </c>
      <c r="M99" s="112">
        <f t="shared" si="10"/>
        <v>35.233675</v>
      </c>
      <c r="N99" s="114"/>
      <c r="O99" s="114"/>
      <c r="P99" s="114"/>
      <c r="Q99" s="114"/>
    </row>
    <row r="100" spans="1:17" s="109" customFormat="1" ht="12.75">
      <c r="A100" s="109" t="s">
        <v>559</v>
      </c>
      <c r="B100" s="110" t="s">
        <v>391</v>
      </c>
      <c r="C100" s="112">
        <f>MEDIAN(C$94:C$98)</f>
        <v>1.4</v>
      </c>
      <c r="D100" s="112">
        <f>MEDIAN(D$94:D$98)</f>
        <v>0.7</v>
      </c>
      <c r="E100" s="112">
        <f>MEDIAN(E$94:E$98)</f>
        <v>2</v>
      </c>
      <c r="F100" s="112">
        <f>MEDIAN(F$94:F$98)</f>
        <v>35</v>
      </c>
      <c r="G100" s="111"/>
      <c r="H100" s="112">
        <f aca="true" t="shared" si="11" ref="H100:M100">MEDIAN(H$94:H$98)</f>
        <v>3.0043917676221</v>
      </c>
      <c r="I100" s="112">
        <f t="shared" si="11"/>
        <v>0.8711</v>
      </c>
      <c r="J100" s="112">
        <f t="shared" si="11"/>
        <v>7.22932636297537</v>
      </c>
      <c r="K100" s="112">
        <f t="shared" si="11"/>
        <v>8.19883728027344</v>
      </c>
      <c r="L100" s="112">
        <f t="shared" si="11"/>
        <v>2659.4653522981052</v>
      </c>
      <c r="M100" s="112">
        <f t="shared" si="11"/>
        <v>35.099999999999994</v>
      </c>
      <c r="N100" s="114"/>
      <c r="O100" s="114"/>
      <c r="P100" s="114"/>
      <c r="Q100" s="114"/>
    </row>
    <row r="101" spans="1:13" s="109" customFormat="1" ht="12.75">
      <c r="A101" s="109" t="s">
        <v>84</v>
      </c>
      <c r="B101" s="110" t="s">
        <v>85</v>
      </c>
      <c r="C101" s="112">
        <f>AVERAGE(C$94:C$98,C$78:C$91,C$51:C$75,C$24:C$48,C$13:C$21,C$2:C$10)</f>
        <v>4.605793421052631</v>
      </c>
      <c r="D101" s="112">
        <f>AVERAGE(D$94:D$98,D$78:D$91,D$51:D$75,D$24:D$48,D$13:D$21,D$2:D$10)</f>
        <v>1.9082959459459463</v>
      </c>
      <c r="E101" s="112">
        <f>AVERAGE(E$94:E$98,E$78:E$91,E$51:E$75,E$24:E$48,E$13:E$21,E$2:E$10)</f>
        <v>6.488301298701299</v>
      </c>
      <c r="F101" s="112">
        <f>AVERAGE(F$94:F$98,F$78:F$91,F$51:F$75,F$24:F$48,F$13:F$21,F$2:F$10)</f>
        <v>31.649503204544654</v>
      </c>
      <c r="G101" s="111"/>
      <c r="H101" s="112">
        <f aca="true" t="shared" si="12" ref="H101:M101">AVERAGE(H$94:H$98,H$78:H$91,H$51:H$75,H$24:H$48,H$13:H$21,H$2:H$10)</f>
        <v>4.476737179037989</v>
      </c>
      <c r="I101" s="112">
        <f t="shared" si="12"/>
        <v>3.1614794421548784</v>
      </c>
      <c r="J101" s="112">
        <f t="shared" si="12"/>
        <v>11.542243029642039</v>
      </c>
      <c r="K101" s="112">
        <f t="shared" si="12"/>
        <v>15.097294676871527</v>
      </c>
      <c r="L101" s="112">
        <f t="shared" si="12"/>
        <v>5813.223993469445</v>
      </c>
      <c r="M101" s="112">
        <f t="shared" si="12"/>
        <v>41.057912153846154</v>
      </c>
    </row>
    <row r="102" spans="1:13" s="109" customFormat="1" ht="12.75">
      <c r="A102" s="109" t="s">
        <v>84</v>
      </c>
      <c r="B102" s="110" t="s">
        <v>86</v>
      </c>
      <c r="C102" s="112">
        <f>MEDIAN(C$94:C$98,C$78:C$91,C$51:C$75,C$24:C$48,C$13:C$21,C$2:C$10)</f>
        <v>3.25</v>
      </c>
      <c r="D102" s="112">
        <f>MEDIAN(D$94:D$98,D$78:D$91,D$51:D$75,D$24:D$48,D$13:D$21,D$2:D$10)</f>
        <v>1.45</v>
      </c>
      <c r="E102" s="112">
        <f>MEDIAN(E$94:E$98,E$78:E$91,E$51:E$75,E$24:E$48,E$13:E$21,E$2:E$10)</f>
        <v>5.4</v>
      </c>
      <c r="F102" s="112">
        <f>MEDIAN(F$94:F$98,F$78:F$91,F$51:F$75,F$24:F$48,F$13:F$21,F$2:F$10)</f>
        <v>26.444547996272135</v>
      </c>
      <c r="G102" s="111"/>
      <c r="H102" s="112">
        <f aca="true" t="shared" si="13" ref="H102:M102">MEDIAN(H$94:H$98,H$78:H$91,H$51:H$75,H$24:H$48,H$13:H$21,H$2:H$10)</f>
        <v>4.24049809784036</v>
      </c>
      <c r="I102" s="112">
        <f t="shared" si="13"/>
        <v>2.8635</v>
      </c>
      <c r="J102" s="112">
        <f t="shared" si="13"/>
        <v>10.684326362975371</v>
      </c>
      <c r="K102" s="112">
        <f t="shared" si="13"/>
        <v>13.6148729324341</v>
      </c>
      <c r="L102" s="112">
        <f t="shared" si="13"/>
        <v>5322.343996261336</v>
      </c>
      <c r="M102" s="112">
        <f t="shared" si="13"/>
        <v>39.8</v>
      </c>
    </row>
    <row r="103" spans="3:9" ht="12.75">
      <c r="C103" s="102"/>
      <c r="D103" s="102"/>
      <c r="E103" s="102"/>
      <c r="F103" s="102"/>
      <c r="G103" s="103"/>
      <c r="H103" s="115"/>
      <c r="I103" s="114"/>
    </row>
    <row r="104" spans="2:9" ht="12.75">
      <c r="B104" s="24"/>
      <c r="C104" s="102"/>
      <c r="D104" s="102"/>
      <c r="E104" s="102"/>
      <c r="F104" s="102"/>
      <c r="G104" s="103"/>
      <c r="H104" s="115"/>
      <c r="I104" s="114"/>
    </row>
    <row r="105" spans="3:9" ht="12.75">
      <c r="C105" s="102"/>
      <c r="D105" s="102"/>
      <c r="E105" s="102"/>
      <c r="F105" s="102"/>
      <c r="G105" s="103"/>
      <c r="H105" s="115"/>
      <c r="I105" s="114"/>
    </row>
    <row r="106" spans="3:9" ht="12.75">
      <c r="C106" s="102"/>
      <c r="D106" s="102"/>
      <c r="E106" s="102"/>
      <c r="F106" s="102"/>
      <c r="G106" s="103"/>
      <c r="H106" s="115"/>
      <c r="I106" s="114"/>
    </row>
    <row r="107" spans="3:9" ht="12.75">
      <c r="C107" s="102"/>
      <c r="D107" s="102"/>
      <c r="E107" s="102"/>
      <c r="F107" s="102"/>
      <c r="G107" s="103"/>
      <c r="H107" s="115"/>
      <c r="I107" s="114"/>
    </row>
    <row r="108" spans="2:9" ht="12.75">
      <c r="B108" s="24"/>
      <c r="C108" s="102"/>
      <c r="D108" s="102"/>
      <c r="E108" s="102"/>
      <c r="F108" s="102"/>
      <c r="G108" s="103"/>
      <c r="H108" s="115"/>
      <c r="I108" s="114"/>
    </row>
    <row r="109" spans="3:9" ht="12.75">
      <c r="C109" s="102"/>
      <c r="D109" s="102"/>
      <c r="E109" s="102"/>
      <c r="F109" s="102"/>
      <c r="G109" s="103"/>
      <c r="H109" s="115"/>
      <c r="I109" s="114"/>
    </row>
    <row r="110" spans="3:9" ht="12.75">
      <c r="C110" s="102"/>
      <c r="D110" s="102"/>
      <c r="E110" s="102"/>
      <c r="F110" s="102"/>
      <c r="G110" s="103"/>
      <c r="H110" s="115"/>
      <c r="I110" s="114"/>
    </row>
    <row r="112" spans="3:6" ht="12.75">
      <c r="C112" s="116"/>
      <c r="D112" s="116"/>
      <c r="E112" s="116"/>
      <c r="F112" s="116"/>
    </row>
    <row r="113" spans="3:6" ht="12.75">
      <c r="C113" s="116"/>
      <c r="D113" s="116"/>
      <c r="E113" s="116"/>
      <c r="F113" s="116"/>
    </row>
  </sheetData>
  <sheetProtection/>
  <printOptions/>
  <pageMargins left="0.787401575" right="0.787401575" top="0.984251969" bottom="0.984251969" header="0.5" footer="0.5"/>
  <pageSetup horizontalDpi="600" verticalDpi="600" orientation="landscape" scale="70" r:id="rId1"/>
  <headerFooter alignWithMargins="0">
    <oddHeader>&amp;L&amp;D&amp;RDRAFT - NOT FOR QUOTATION</oddHeader>
    <oddFooter>&amp;CPlease provide comments and revised or additional data and reports to Christine Weigand (cweigand@worldbank.org). Thank you.</oddFooter>
  </headerFooter>
</worksheet>
</file>

<file path=xl/worksheets/sheet13.xml><?xml version="1.0" encoding="utf-8"?>
<worksheet xmlns="http://schemas.openxmlformats.org/spreadsheetml/2006/main" xmlns:r="http://schemas.openxmlformats.org/officeDocument/2006/relationships">
  <sheetPr>
    <tabColor indexed="41"/>
  </sheetPr>
  <dimension ref="A2:E20"/>
  <sheetViews>
    <sheetView zoomScalePageLayoutView="0" workbookViewId="0" topLeftCell="A1">
      <selection activeCell="E2" sqref="E2"/>
    </sheetView>
  </sheetViews>
  <sheetFormatPr defaultColWidth="8.8515625" defaultRowHeight="12.75"/>
  <cols>
    <col min="1" max="1" width="26.421875" style="0" bestFit="1" customWidth="1"/>
    <col min="2" max="2" width="8.8515625" style="0" customWidth="1"/>
    <col min="3" max="3" width="9.28125" style="0" customWidth="1"/>
  </cols>
  <sheetData>
    <row r="2" ht="13.5" thickBot="1">
      <c r="A2" s="45">
        <v>39514</v>
      </c>
    </row>
    <row r="3" spans="1:5" ht="39">
      <c r="A3" s="1" t="s">
        <v>571</v>
      </c>
      <c r="B3" s="2" t="s">
        <v>260</v>
      </c>
      <c r="C3" s="2" t="s">
        <v>572</v>
      </c>
      <c r="D3" s="2" t="s">
        <v>187</v>
      </c>
      <c r="E3" s="2" t="s">
        <v>188</v>
      </c>
    </row>
    <row r="4" spans="1:5" ht="12.75">
      <c r="A4" s="14" t="s">
        <v>570</v>
      </c>
      <c r="B4" s="113">
        <f>VLOOKUP("AFR average",regional!$B$2:$M$102,2,0)</f>
        <v>1.485</v>
      </c>
      <c r="C4" s="113">
        <f>VLOOKUP("AFR average",regional!$B$2:$M$102,3,0)</f>
        <v>3.0750000000000006</v>
      </c>
      <c r="D4" s="113">
        <f>VLOOKUP("AFR average",regional!$B$2:$M$102,7,0)</f>
        <v>4.7067265760346055</v>
      </c>
      <c r="E4" s="113">
        <f>VLOOKUP("AFR average",regional!$B$2:$M$102,8,0)</f>
        <v>2.5243222222222226</v>
      </c>
    </row>
    <row r="5" spans="1:5" ht="12.75">
      <c r="A5" s="14" t="s">
        <v>565</v>
      </c>
      <c r="B5" s="113">
        <f>VLOOKUP("EAP average",regional!$B$2:$M$102,2,0)</f>
        <v>2.622375</v>
      </c>
      <c r="C5" s="113">
        <f>VLOOKUP("EAP average",regional!$B$2:$M$102,3,0)</f>
        <v>0.8801000000000002</v>
      </c>
      <c r="D5" s="113">
        <f>VLOOKUP("EAP average",regional!$B$2:$M$102,7,0)</f>
        <v>3.8064524201384162</v>
      </c>
      <c r="E5" s="113">
        <f>VLOOKUP("EAP average",regional!$B$2:$M$102,8,0)</f>
        <v>2.1427999999999994</v>
      </c>
    </row>
    <row r="6" spans="1:5" ht="12.75">
      <c r="A6" s="14" t="s">
        <v>4</v>
      </c>
      <c r="B6" s="113">
        <f>VLOOKUP("ECA average",regional!$B$2:$M$102,2,0)</f>
        <v>8.042050000000001</v>
      </c>
      <c r="C6" s="113">
        <f>VLOOKUP("ECA average",regional!$B$2:$M$102,3,0)</f>
        <v>1.9627083333333335</v>
      </c>
      <c r="D6" s="113">
        <f>VLOOKUP("ECA average",regional!$B$2:$M$102,7,0)</f>
        <v>3.8844857751311346</v>
      </c>
      <c r="E6" s="113">
        <f>VLOOKUP("ECA average",regional!$B$2:$M$102,8,0)</f>
        <v>3.629172107461905</v>
      </c>
    </row>
    <row r="7" spans="1:5" ht="12.75">
      <c r="A7" s="14" t="s">
        <v>567</v>
      </c>
      <c r="B7" s="113">
        <f>VLOOKUP("LAC average",regional!$B$2:$M$102,2,0)</f>
        <v>3.803816666666666</v>
      </c>
      <c r="C7" s="113">
        <f>VLOOKUP("LAC average",regional!$B$2:$M$102,3,0)</f>
        <v>1.2907666666666666</v>
      </c>
      <c r="D7" s="113">
        <f>VLOOKUP("LAC average",regional!$B$2:$M$102,7,0)</f>
        <v>4.707681934209247</v>
      </c>
      <c r="E7" s="113">
        <f>VLOOKUP("LAC average",regional!$B$2:$M$102,8,0)</f>
        <v>3.7659920000000007</v>
      </c>
    </row>
    <row r="8" spans="1:5" ht="12.75">
      <c r="A8" s="14" t="s">
        <v>568</v>
      </c>
      <c r="B8" s="113">
        <f>VLOOKUP("MENA average",'regional wo Iraq'!$B$2:$M$102,2,0)</f>
        <v>3.015</v>
      </c>
      <c r="C8" s="113">
        <f>VLOOKUP("MENA average",'regional wo Iraq'!$B$2:$M$102,3,0)</f>
        <v>2.2044444444444444</v>
      </c>
      <c r="D8" s="113">
        <f>VLOOKUP("MENA average",'regional wo Iraq'!$B$2:$M$102,7,0)</f>
        <v>5.913276237904926</v>
      </c>
      <c r="E8" s="113">
        <f>VLOOKUP("MENA average",'regional wo Iraq'!$B$2:$M$102,8,0)</f>
        <v>2.6932000000000005</v>
      </c>
    </row>
    <row r="9" spans="1:5" ht="12.75">
      <c r="A9" s="14" t="s">
        <v>569</v>
      </c>
      <c r="B9" s="113">
        <f>VLOOKUP("SA average",regional!$B$2:$M$102,2,0)</f>
        <v>1.4</v>
      </c>
      <c r="C9" s="113">
        <f>VLOOKUP("SA average",regional!$B$2:$M$102,3,0)</f>
        <v>0.9</v>
      </c>
      <c r="D9" s="113">
        <f>VLOOKUP("SA average",regional!$B$2:$M$102,7,0)</f>
        <v>3.7826709225034327</v>
      </c>
      <c r="E9" s="113">
        <f>VLOOKUP("SA average",regional!$B$2:$M$102,8,0)</f>
        <v>2.07918</v>
      </c>
    </row>
    <row r="10" spans="1:5" ht="12.75">
      <c r="A10" s="14" t="s">
        <v>573</v>
      </c>
      <c r="B10" s="5">
        <v>13.2</v>
      </c>
      <c r="C10" s="5">
        <v>2.5</v>
      </c>
      <c r="D10" s="5"/>
      <c r="E10" s="5"/>
    </row>
    <row r="12" ht="13.5" thickBot="1">
      <c r="A12" s="24" t="s">
        <v>379</v>
      </c>
    </row>
    <row r="13" spans="1:5" ht="39">
      <c r="A13" s="1" t="s">
        <v>571</v>
      </c>
      <c r="B13" s="2" t="s">
        <v>260</v>
      </c>
      <c r="C13" s="2" t="s">
        <v>572</v>
      </c>
      <c r="D13" s="2" t="s">
        <v>187</v>
      </c>
      <c r="E13" s="2" t="s">
        <v>188</v>
      </c>
    </row>
    <row r="14" spans="1:5" ht="12.75">
      <c r="A14" s="14" t="s">
        <v>570</v>
      </c>
      <c r="B14" s="113">
        <f>VLOOKUP("AFR median",regional!$B$2:$M$102,2,0)</f>
        <v>1.05</v>
      </c>
      <c r="C14" s="113">
        <f>VLOOKUP("AFR median",regional!$B$2:$M$102,3,0)</f>
        <v>3.8000000000000003</v>
      </c>
      <c r="D14" s="113">
        <f>VLOOKUP("AFR median",regional!$B$2:$M$102,7,0)</f>
        <v>4.0591758026775</v>
      </c>
      <c r="E14" s="113">
        <f>VLOOKUP("AFR median",regional!$B$2:$M$102,8,0)</f>
        <v>2.3777</v>
      </c>
    </row>
    <row r="15" spans="1:5" ht="12.75">
      <c r="A15" s="14" t="s">
        <v>565</v>
      </c>
      <c r="B15" s="113">
        <f>VLOOKUP("EAP median",regional!$B$2:$M$102,2,0)</f>
        <v>1.5699999999999998</v>
      </c>
      <c r="C15" s="113">
        <f>VLOOKUP("EAP median",regional!$B$2:$M$102,3,0)</f>
        <v>1.1</v>
      </c>
      <c r="D15" s="113">
        <f>VLOOKUP("EAP median",regional!$B$2:$M$102,7,0)</f>
        <v>3.8704039351542354</v>
      </c>
      <c r="E15" s="113">
        <f>VLOOKUP("EAP median",regional!$B$2:$M$102,8,0)</f>
        <v>1.786</v>
      </c>
    </row>
    <row r="16" spans="1:5" ht="12.75">
      <c r="A16" s="14" t="s">
        <v>4</v>
      </c>
      <c r="B16" s="113">
        <f>VLOOKUP("ECA median",regional!$B$2:$M$102,2,0)</f>
        <v>8.2171</v>
      </c>
      <c r="C16" s="113">
        <f>VLOOKUP("ECA median",regional!$B$2:$M$102,3,0)</f>
        <v>1.75</v>
      </c>
      <c r="D16" s="113">
        <f>VLOOKUP("ECA median",regional!$B$2:$M$102,7,0)</f>
        <v>4.02015477397718</v>
      </c>
      <c r="E16" s="113">
        <f>VLOOKUP("ECA median",regional!$B$2:$M$102,8,0)</f>
        <v>3.6512</v>
      </c>
    </row>
    <row r="17" spans="1:5" ht="12.75">
      <c r="A17" s="14" t="s">
        <v>567</v>
      </c>
      <c r="B17" s="113">
        <f>VLOOKUP("LAC median",regional!$B$2:$M$102,2,0)</f>
        <v>2.9400000000000004</v>
      </c>
      <c r="C17" s="113">
        <f>VLOOKUP("LAC median",regional!$B$2:$M$102,3,0)</f>
        <v>1.1</v>
      </c>
      <c r="D17" s="113">
        <f>VLOOKUP("LAC median",regional!$B$2:$M$102,7,0)</f>
        <v>4.8862826787379205</v>
      </c>
      <c r="E17" s="113">
        <f>VLOOKUP("LAC median",regional!$B$2:$M$102,8,0)</f>
        <v>3.5776</v>
      </c>
    </row>
    <row r="18" spans="1:5" ht="12.75">
      <c r="A18" s="14" t="s">
        <v>568</v>
      </c>
      <c r="B18" s="113">
        <f>VLOOKUP("MENA median",'regional wo Iraq'!$B$2:$M$102,2,0)</f>
        <v>2.7350000000000003</v>
      </c>
      <c r="C18" s="113">
        <f>VLOOKUP("MENA median",'regional wo Iraq'!$B$2:$M$102,3,0)</f>
        <v>1.9</v>
      </c>
      <c r="D18" s="113">
        <f>VLOOKUP("MENA median",'regional wo Iraq'!$B$2:$M$102,7,0)</f>
        <v>6.08333580415041</v>
      </c>
      <c r="E18" s="113">
        <f>VLOOKUP("MENA median",'regional wo Iraq'!$B$2:$M$102,8,0)</f>
        <v>2.49485</v>
      </c>
    </row>
    <row r="19" spans="1:5" ht="12.75">
      <c r="A19" s="14" t="s">
        <v>569</v>
      </c>
      <c r="B19" s="113">
        <f>VLOOKUP("SA median",regional!$B$2:$M$102,2,0)</f>
        <v>1.4</v>
      </c>
      <c r="C19" s="113">
        <f>VLOOKUP("SA median",regional!$B$2:$M$102,3,0)</f>
        <v>0.7</v>
      </c>
      <c r="D19" s="113">
        <f>VLOOKUP("SA median",regional!$B$2:$M$102,7,0)</f>
        <v>3.0043917676221</v>
      </c>
      <c r="E19" s="113">
        <f>VLOOKUP("SA median",regional!$B$2:$M$102,8,0)</f>
        <v>0.8711</v>
      </c>
    </row>
    <row r="20" spans="1:5" ht="12.75">
      <c r="A20" s="14" t="s">
        <v>573</v>
      </c>
      <c r="B20" s="5">
        <v>13.2</v>
      </c>
      <c r="C20" s="5">
        <v>2.5</v>
      </c>
      <c r="D20" s="5"/>
      <c r="E20" s="5"/>
    </row>
  </sheetData>
  <sheetProtection/>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1"/>
  <sheetViews>
    <sheetView zoomScalePageLayoutView="0" workbookViewId="0" topLeftCell="A1">
      <selection activeCell="I4" sqref="I4"/>
    </sheetView>
  </sheetViews>
  <sheetFormatPr defaultColWidth="9.140625" defaultRowHeight="12.75" outlineLevelCol="1"/>
  <cols>
    <col min="1" max="1" width="15.28125" style="124" customWidth="1" outlineLevel="1"/>
    <col min="2" max="2" width="19.8515625" style="124" customWidth="1"/>
    <col min="3" max="6" width="13.7109375" style="124" bestFit="1" customWidth="1"/>
    <col min="7" max="7" width="9.00390625" style="124" customWidth="1"/>
    <col min="8" max="16384" width="9.140625" style="124" customWidth="1"/>
  </cols>
  <sheetData>
    <row r="1" spans="1:7" ht="23.25" customHeight="1">
      <c r="A1" s="137" t="s">
        <v>591</v>
      </c>
      <c r="B1" s="138" t="s">
        <v>592</v>
      </c>
      <c r="C1" s="139"/>
      <c r="D1" s="139"/>
      <c r="E1" s="139"/>
      <c r="F1" s="139"/>
      <c r="G1" s="139"/>
    </row>
    <row r="2" ht="12.75"/>
    <row r="3" ht="12.75"/>
    <row r="4" spans="1:7" ht="63.75">
      <c r="A4" s="132" t="s">
        <v>368</v>
      </c>
      <c r="B4" s="133" t="s">
        <v>258</v>
      </c>
      <c r="C4" s="133" t="s">
        <v>183</v>
      </c>
      <c r="D4" s="133" t="s">
        <v>184</v>
      </c>
      <c r="E4" s="133" t="s">
        <v>185</v>
      </c>
      <c r="F4" s="133" t="s">
        <v>545</v>
      </c>
      <c r="G4" s="133" t="s">
        <v>186</v>
      </c>
    </row>
    <row r="5" spans="1:7" ht="12.75" hidden="1">
      <c r="A5" s="124" t="s">
        <v>369</v>
      </c>
      <c r="B5" s="125" t="s">
        <v>133</v>
      </c>
      <c r="C5" s="126">
        <f>VLOOKUP($B5,Descriptive!$B$3:$K$94,2,0)</f>
        <v>0.9</v>
      </c>
      <c r="D5" s="126" t="str">
        <f>VLOOKUP($B5,Descriptive!$B$3:$K$94,3,0)</f>
        <v>NA</v>
      </c>
      <c r="E5" s="126" t="str">
        <f>VLOOKUP($B5,Descriptive!$B$3:$K$94,4,0)</f>
        <v>NA</v>
      </c>
      <c r="F5" s="126" t="str">
        <f>VLOOKUP($B5,Descriptive!$B$3:$K$94,5,0)</f>
        <v>NA</v>
      </c>
      <c r="G5" s="127">
        <f>VLOOKUP($B5,Descriptive!$B$3:$K$94,6,0)</f>
        <v>2003</v>
      </c>
    </row>
    <row r="6" spans="1:7" ht="12.75">
      <c r="A6" s="124" t="s">
        <v>564</v>
      </c>
      <c r="B6" s="125" t="s">
        <v>138</v>
      </c>
      <c r="C6" s="128">
        <f>VLOOKUP($B6,Descriptive!$B$3:$K$94,2,0)</f>
        <v>0.85</v>
      </c>
      <c r="D6" s="128">
        <f>VLOOKUP($B6,Descriptive!$B$3:$K$94,3,0)</f>
        <v>0.15</v>
      </c>
      <c r="E6" s="128">
        <f>VLOOKUP($B6,Descriptive!$B$3:$K$94,4,0)</f>
        <v>1</v>
      </c>
      <c r="F6" s="128">
        <f>VLOOKUP($B6,Descriptive!$B$3:$K$94,5,0)</f>
        <v>15</v>
      </c>
      <c r="G6" s="129">
        <f>VLOOKUP($B6,Descriptive!$B$3:$K$94,6,0)</f>
        <v>2004</v>
      </c>
    </row>
    <row r="7" spans="1:7" ht="12.75">
      <c r="A7" s="124" t="s">
        <v>564</v>
      </c>
      <c r="B7" s="125" t="s">
        <v>87</v>
      </c>
      <c r="C7" s="128">
        <f>VLOOKUP($B7,Descriptive!$B$3:$K$94,2,0)</f>
        <v>0.2</v>
      </c>
      <c r="D7" s="128">
        <f>VLOOKUP($B7,Descriptive!$B$3:$K$94,3,0)</f>
        <v>0.2</v>
      </c>
      <c r="E7" s="128">
        <f>VLOOKUP($B7,Descriptive!$B$3:$K$94,4,0)</f>
        <v>0.4</v>
      </c>
      <c r="F7" s="128">
        <f>VLOOKUP($B7,Descriptive!$B$3:$K$94,5,0)</f>
        <v>50</v>
      </c>
      <c r="G7" s="129">
        <f>VLOOKUP($B7,Descriptive!$B$3:$K$94,6,0)</f>
        <v>2004</v>
      </c>
    </row>
    <row r="8" spans="1:7" ht="12.75">
      <c r="A8" s="124" t="s">
        <v>564</v>
      </c>
      <c r="B8" s="125" t="s">
        <v>222</v>
      </c>
      <c r="C8" s="128">
        <f>VLOOKUP($B8,Descriptive!$B$3:$K$94,2,0)</f>
        <v>1.8</v>
      </c>
      <c r="D8" s="128">
        <f>VLOOKUP($B8,Descriptive!$B$3:$K$94,3,0)</f>
        <v>0.2</v>
      </c>
      <c r="E8" s="128">
        <f>VLOOKUP($B8,Descriptive!$B$3:$K$94,4,0)</f>
        <v>1.9</v>
      </c>
      <c r="F8" s="128">
        <f>VLOOKUP($B8,Descriptive!$B$3:$K$94,5,0)</f>
        <v>10.526315789473685</v>
      </c>
      <c r="G8" s="129">
        <f>VLOOKUP($B8,Descriptive!$B$3:$K$94,6,0)</f>
        <v>1999</v>
      </c>
    </row>
    <row r="9" spans="1:7" ht="12.75">
      <c r="A9" s="124" t="s">
        <v>564</v>
      </c>
      <c r="B9" s="125" t="s">
        <v>230</v>
      </c>
      <c r="C9" s="128" t="str">
        <f>VLOOKUP($B9,Descriptive!$B$3:$K$94,2,0)</f>
        <v>NA</v>
      </c>
      <c r="D9" s="128">
        <f>VLOOKUP($B9,Descriptive!$B$3:$K$94,3,0)</f>
        <v>0.22</v>
      </c>
      <c r="E9" s="128" t="str">
        <f>VLOOKUP($B9,Descriptive!$B$3:$K$94,4,0)</f>
        <v>NA</v>
      </c>
      <c r="F9" s="128" t="str">
        <f>VLOOKUP($B9,Descriptive!$B$3:$K$94,5,0)</f>
        <v>NA</v>
      </c>
      <c r="G9" s="129">
        <f>VLOOKUP($B9,Descriptive!$B$3:$K$94,6,0)</f>
        <v>2005</v>
      </c>
    </row>
    <row r="10" spans="1:7" ht="12.75">
      <c r="A10" s="124" t="s">
        <v>564</v>
      </c>
      <c r="B10" s="125" t="s">
        <v>105</v>
      </c>
      <c r="C10" s="128">
        <f>VLOOKUP($B10,Descriptive!$B$3:$K$94,2,0)</f>
        <v>2.5</v>
      </c>
      <c r="D10" s="128">
        <f>VLOOKUP($B10,Descriptive!$B$3:$K$94,3,0)</f>
        <v>0.4</v>
      </c>
      <c r="E10" s="128">
        <f>VLOOKUP($B10,Descriptive!$B$3:$K$94,4,0)</f>
        <v>2.9</v>
      </c>
      <c r="F10" s="128">
        <f>VLOOKUP($B10,Descriptive!$B$3:$K$94,5,0)</f>
        <v>13.793103448275861</v>
      </c>
      <c r="G10" s="129">
        <f>VLOOKUP($B10,Descriptive!$B$3:$K$94,6,0)</f>
        <v>2004</v>
      </c>
    </row>
    <row r="11" spans="1:7" ht="12.75">
      <c r="A11" s="124" t="s">
        <v>564</v>
      </c>
      <c r="B11" s="125" t="s">
        <v>235</v>
      </c>
      <c r="C11" s="128">
        <f>VLOOKUP($B11,Descriptive!$B$3:$K$94,2,0)</f>
        <v>1.4</v>
      </c>
      <c r="D11" s="128">
        <f>VLOOKUP($B11,Descriptive!$B$3:$K$94,3,0)</f>
        <v>0.4</v>
      </c>
      <c r="E11" s="128">
        <f>VLOOKUP($B11,Descriptive!$B$3:$K$94,4,0)</f>
        <v>1.7999999999999998</v>
      </c>
      <c r="F11" s="128">
        <f>VLOOKUP($B11,Descriptive!$B$3:$K$94,5,0)</f>
        <v>22.222222222222225</v>
      </c>
      <c r="G11" s="129">
        <v>2004</v>
      </c>
    </row>
    <row r="12" spans="1:7" ht="12.75">
      <c r="A12" s="124" t="s">
        <v>564</v>
      </c>
      <c r="B12" s="125" t="s">
        <v>128</v>
      </c>
      <c r="C12" s="128">
        <f>VLOOKUP($B12,Descriptive!$B$3:$K$94,2,0)</f>
        <v>1.84</v>
      </c>
      <c r="D12" s="128">
        <f>VLOOKUP($B12,Descriptive!$B$3:$K$94,3,0)</f>
        <v>0.4</v>
      </c>
      <c r="E12" s="128">
        <f>VLOOKUP($B12,Descriptive!$B$3:$K$94,4,0)</f>
        <v>2.24</v>
      </c>
      <c r="F12" s="128">
        <f>VLOOKUP($B12,Descriptive!$B$3:$K$94,5,0)</f>
        <v>17.857142857142858</v>
      </c>
      <c r="G12" s="129">
        <f>VLOOKUP($B12,Descriptive!$B$3:$K$94,6,0)</f>
        <v>2000</v>
      </c>
    </row>
    <row r="13" spans="1:7" ht="12.75">
      <c r="A13" s="124" t="s">
        <v>564</v>
      </c>
      <c r="B13" s="125" t="s">
        <v>459</v>
      </c>
      <c r="C13" s="128">
        <f>VLOOKUP($B13,Descriptive!$B$3:$K$94,2,0)</f>
        <v>1.64</v>
      </c>
      <c r="D13" s="128">
        <f>VLOOKUP($B13,Descriptive!$B$3:$K$94,3,0)</f>
        <v>0.43</v>
      </c>
      <c r="E13" s="128">
        <f>VLOOKUP($B13,Descriptive!$B$3:$K$94,4,0)</f>
        <v>2.07</v>
      </c>
      <c r="F13" s="128">
        <f>VLOOKUP($B13,Descriptive!$B$3:$K$94,5,0)</f>
        <v>20.77294685990338</v>
      </c>
      <c r="G13" s="129">
        <f>VLOOKUP($B13,Descriptive!$B$3:$K$94,6,0)</f>
        <v>2006</v>
      </c>
    </row>
    <row r="14" spans="1:7" ht="12.75">
      <c r="A14" s="124" t="s">
        <v>563</v>
      </c>
      <c r="B14" s="125" t="s">
        <v>257</v>
      </c>
      <c r="C14" s="128">
        <f>VLOOKUP($B14,Descriptive!$B$3:$K$94,2,0)</f>
        <v>9.6</v>
      </c>
      <c r="D14" s="128">
        <f>VLOOKUP($B14,Descriptive!$B$3:$K$94,3,0)</f>
        <v>0.5</v>
      </c>
      <c r="E14" s="128">
        <f>VLOOKUP($B14,Descriptive!$B$3:$K$94,4,0)</f>
        <v>10.1</v>
      </c>
      <c r="F14" s="128">
        <f>VLOOKUP($B14,Descriptive!$B$3:$K$94,5,0)</f>
        <v>4.9504950495049505</v>
      </c>
      <c r="G14" s="129">
        <f>VLOOKUP($B14,Descriptive!$B$3:$K$94,6,0)</f>
        <v>2005</v>
      </c>
    </row>
    <row r="15" spans="1:7" ht="12.75">
      <c r="A15" s="124" t="s">
        <v>563</v>
      </c>
      <c r="B15" s="125" t="s">
        <v>241</v>
      </c>
      <c r="C15" s="128">
        <f>VLOOKUP($B15,Descriptive!$B$3:$K$94,2,0)</f>
        <v>5.9</v>
      </c>
      <c r="D15" s="128">
        <f>VLOOKUP($B15,Descriptive!$B$3:$K$94,3,0)</f>
        <v>0.6</v>
      </c>
      <c r="E15" s="128">
        <f>VLOOKUP($B15,Descriptive!$B$3:$K$94,4,0)</f>
        <v>6.5</v>
      </c>
      <c r="F15" s="128">
        <f>VLOOKUP($B15,Descriptive!$B$3:$K$94,5,0)</f>
        <v>9.23076923076923</v>
      </c>
      <c r="G15" s="129">
        <f>VLOOKUP($B15,Descriptive!$B$3:$K$94,6,0)</f>
        <v>2004</v>
      </c>
    </row>
    <row r="16" spans="1:7" ht="12.75">
      <c r="A16" s="124" t="s">
        <v>563</v>
      </c>
      <c r="B16" s="125" t="s">
        <v>534</v>
      </c>
      <c r="C16" s="128">
        <f>VLOOKUP($B16,Descriptive!$B$3:$K$94,2,0)</f>
        <v>1.07</v>
      </c>
      <c r="D16" s="128">
        <f>VLOOKUP($B16,Descriptive!$B$3:$K$94,3,0)</f>
        <v>0.64</v>
      </c>
      <c r="E16" s="128">
        <f>VLOOKUP($B16,Descriptive!$B$3:$K$94,4,0)</f>
        <v>1.71</v>
      </c>
      <c r="F16" s="128">
        <f>VLOOKUP($B16,Descriptive!$B$3:$K$94,5,0)</f>
        <v>37.42690058479533</v>
      </c>
      <c r="G16" s="129">
        <f>VLOOKUP($B16,Descriptive!$B$3:$K$94,6,0)</f>
        <v>1998</v>
      </c>
    </row>
    <row r="17" spans="1:7" ht="12.75">
      <c r="A17" s="124" t="s">
        <v>563</v>
      </c>
      <c r="B17" s="125" t="s">
        <v>234</v>
      </c>
      <c r="C17" s="128">
        <f>VLOOKUP($B17,Descriptive!$B$3:$K$94,2,0)</f>
        <v>1.3</v>
      </c>
      <c r="D17" s="128">
        <f>VLOOKUP($B17,Descriptive!$B$3:$K$94,3,0)</f>
        <v>0.7</v>
      </c>
      <c r="E17" s="128">
        <f>VLOOKUP($B17,Descriptive!$B$3:$K$94,4,0)</f>
        <v>2</v>
      </c>
      <c r="F17" s="128">
        <f>VLOOKUP($B17,Descriptive!$B$3:$K$94,5,0)</f>
        <v>35</v>
      </c>
      <c r="G17" s="129">
        <f>VLOOKUP($B17,Descriptive!$B$3:$K$94,6,0)</f>
        <v>2004</v>
      </c>
    </row>
    <row r="18" spans="1:7" ht="12.75">
      <c r="A18" s="124" t="s">
        <v>563</v>
      </c>
      <c r="B18" s="125" t="s">
        <v>240</v>
      </c>
      <c r="C18" s="128">
        <f>VLOOKUP($B18,Descriptive!$B$3:$K$94,2,0)</f>
        <v>6.9</v>
      </c>
      <c r="D18" s="128">
        <f>VLOOKUP($B18,Descriptive!$B$3:$K$94,3,0)</f>
        <v>0.7</v>
      </c>
      <c r="E18" s="128">
        <f>VLOOKUP($B18,Descriptive!$B$3:$K$94,4,0)</f>
        <v>7.6</v>
      </c>
      <c r="F18" s="128">
        <f>VLOOKUP($B18,Descriptive!$B$3:$K$94,5,0)</f>
        <v>9.210526315789473</v>
      </c>
      <c r="G18" s="129">
        <f>VLOOKUP($B18,Descriptive!$B$3:$K$94,6,0)</f>
        <v>2003</v>
      </c>
    </row>
    <row r="19" spans="1:7" ht="12.75">
      <c r="A19" s="124" t="s">
        <v>563</v>
      </c>
      <c r="B19" s="130" t="s">
        <v>588</v>
      </c>
      <c r="C19" s="128">
        <f>VLOOKUP($B19,Descriptive!$B$3:$K$94,2,0)</f>
        <v>5.1</v>
      </c>
      <c r="D19" s="128">
        <f>VLOOKUP($B19,Descriptive!$B$3:$K$94,3,0)</f>
        <v>0.7</v>
      </c>
      <c r="E19" s="128">
        <f>VLOOKUP($B19,Descriptive!$B$3:$K$94,4,0)</f>
        <v>5.8</v>
      </c>
      <c r="F19" s="128">
        <f>VLOOKUP($B19,Descriptive!$B$3:$K$94,5,0)</f>
        <v>12.068965517241379</v>
      </c>
      <c r="G19" s="129">
        <f>VLOOKUP($B19,Descriptive!$B$3:$K$94,6,0)</f>
        <v>2001</v>
      </c>
    </row>
    <row r="20" spans="1:7" ht="12.75">
      <c r="A20" s="124" t="s">
        <v>563</v>
      </c>
      <c r="B20" s="125" t="s">
        <v>254</v>
      </c>
      <c r="C20" s="128">
        <f>VLOOKUP($B20,Descriptive!$B$3:$K$94,2,0)</f>
        <v>3.18</v>
      </c>
      <c r="D20" s="128">
        <f>VLOOKUP($B20,Descriptive!$B$3:$K$94,3,0)</f>
        <v>0.71</v>
      </c>
      <c r="E20" s="128">
        <f>VLOOKUP($B20,Descriptive!$B$3:$K$94,4,0)</f>
        <v>3.89</v>
      </c>
      <c r="F20" s="128">
        <f>VLOOKUP($B20,Descriptive!$B$3:$K$94,5,0)</f>
        <v>18.25192802056555</v>
      </c>
      <c r="G20" s="129">
        <f>VLOOKUP($B20,Descriptive!$B$3:$K$94,6,0)</f>
        <v>2005</v>
      </c>
    </row>
    <row r="21" spans="1:7" ht="12.75">
      <c r="A21" s="124" t="s">
        <v>563</v>
      </c>
      <c r="B21" s="125" t="s">
        <v>250</v>
      </c>
      <c r="C21" s="128">
        <f>VLOOKUP($B21,Descriptive!$B$3:$K$94,2,0)</f>
        <v>1.01</v>
      </c>
      <c r="D21" s="128">
        <f>VLOOKUP($B21,Descriptive!$B$3:$K$94,3,0)</f>
        <v>0.76</v>
      </c>
      <c r="E21" s="128">
        <f>VLOOKUP($B21,Descriptive!$B$3:$K$94,4,0)</f>
        <v>1.77</v>
      </c>
      <c r="F21" s="128">
        <f>VLOOKUP($B21,Descriptive!$B$3:$K$94,5,0)</f>
        <v>42.93785310734463</v>
      </c>
      <c r="G21" s="129">
        <v>2005</v>
      </c>
    </row>
    <row r="22" spans="1:7" ht="12.75">
      <c r="A22" s="124" t="s">
        <v>563</v>
      </c>
      <c r="B22" s="125" t="s">
        <v>194</v>
      </c>
      <c r="C22" s="128">
        <f>VLOOKUP($B22,Descriptive!$B$3:$K$94,2,0)</f>
        <v>1.2</v>
      </c>
      <c r="D22" s="128">
        <f>VLOOKUP($B22,Descriptive!$B$3:$K$94,3,0)</f>
        <v>0.9</v>
      </c>
      <c r="E22" s="128">
        <f>VLOOKUP($B22,Descriptive!$B$3:$K$94,4,0)</f>
        <v>2.1</v>
      </c>
      <c r="F22" s="128">
        <f>VLOOKUP($B22,Descriptive!$B$3:$K$94,5,0)</f>
        <v>42.857142857142854</v>
      </c>
      <c r="G22" s="129">
        <f>VLOOKUP($B22,Descriptive!$B$3:$K$94,6,0)</f>
        <v>2002</v>
      </c>
    </row>
    <row r="23" spans="1:7" ht="12.75">
      <c r="A23" s="124" t="s">
        <v>560</v>
      </c>
      <c r="B23" s="125" t="s">
        <v>127</v>
      </c>
      <c r="C23" s="128">
        <f>VLOOKUP($B23,Descriptive!$B$3:$K$94,2,0)</f>
        <v>4.2</v>
      </c>
      <c r="D23" s="128">
        <f>VLOOKUP($B23,Descriptive!$B$3:$K$94,3,0)</f>
        <v>1</v>
      </c>
      <c r="E23" s="128">
        <f>VLOOKUP($B23,Descriptive!$B$3:$K$94,4,0)</f>
        <v>5.2</v>
      </c>
      <c r="F23" s="128">
        <f>VLOOKUP($B23,Descriptive!$B$3:$K$94,5,0)</f>
        <v>19.23076923076923</v>
      </c>
      <c r="G23" s="129">
        <f>VLOOKUP($B23,Descriptive!$B$3:$K$94,6,0)</f>
        <v>2000</v>
      </c>
    </row>
    <row r="24" spans="1:7" ht="12.75">
      <c r="A24" s="124" t="s">
        <v>560</v>
      </c>
      <c r="B24" s="125" t="s">
        <v>251</v>
      </c>
      <c r="C24" s="128">
        <f>VLOOKUP($B24,Descriptive!$B$3:$K$94,2,0)</f>
        <v>2.6</v>
      </c>
      <c r="D24" s="128">
        <f>VLOOKUP($B24,Descriptive!$B$3:$K$94,3,0)</f>
        <v>1</v>
      </c>
      <c r="E24" s="128">
        <f>VLOOKUP($B24,Descriptive!$B$3:$K$94,4,0)</f>
        <v>3.5</v>
      </c>
      <c r="F24" s="128">
        <f>VLOOKUP($B24,Descriptive!$B$3:$K$94,5,0)</f>
        <v>28.57142857142857</v>
      </c>
      <c r="G24" s="129">
        <f>VLOOKUP($B24,Descriptive!$B$3:$K$94,6,0)</f>
        <v>2002</v>
      </c>
    </row>
    <row r="25" spans="1:7" ht="12.75">
      <c r="A25" s="124" t="s">
        <v>560</v>
      </c>
      <c r="B25" s="125" t="s">
        <v>236</v>
      </c>
      <c r="C25" s="128">
        <f>VLOOKUP($B25,Descriptive!$B$3:$K$94,2,0)</f>
        <v>2</v>
      </c>
      <c r="D25" s="128">
        <f>VLOOKUP($B25,Descriptive!$B$3:$K$94,3,0)</f>
        <v>1</v>
      </c>
      <c r="E25" s="128">
        <f>VLOOKUP($B25,Descriptive!$B$3:$K$94,4,0)</f>
        <v>3</v>
      </c>
      <c r="F25" s="128">
        <f>VLOOKUP($B25,Descriptive!$B$3:$K$94,5,0)</f>
        <v>33.33333333333333</v>
      </c>
      <c r="G25" s="129">
        <f>VLOOKUP($B25,Descriptive!$B$3:$K$94,6,0)</f>
        <v>2004</v>
      </c>
    </row>
    <row r="26" spans="1:7" ht="12.75">
      <c r="A26" s="124" t="s">
        <v>560</v>
      </c>
      <c r="B26" s="125" t="s">
        <v>256</v>
      </c>
      <c r="C26" s="128">
        <f>VLOOKUP($B26,Descriptive!$B$3:$K$94,2,0)</f>
        <v>2.7</v>
      </c>
      <c r="D26" s="128">
        <f>VLOOKUP($B26,Descriptive!$B$3:$K$94,3,0)</f>
        <v>1</v>
      </c>
      <c r="E26" s="128">
        <f>VLOOKUP($B26,Descriptive!$B$3:$K$94,4,0)</f>
        <v>3.7</v>
      </c>
      <c r="F26" s="128">
        <f>VLOOKUP($B26,Descriptive!$B$3:$K$94,5,0)</f>
        <v>27.027027027027025</v>
      </c>
      <c r="G26" s="129">
        <f>VLOOKUP($B26,Descriptive!$B$3:$K$94,6,0)</f>
        <v>2000</v>
      </c>
    </row>
    <row r="27" spans="1:7" ht="12.75">
      <c r="A27" s="124" t="s">
        <v>560</v>
      </c>
      <c r="B27" s="125" t="s">
        <v>584</v>
      </c>
      <c r="C27" s="128">
        <f>VLOOKUP($B27,Descriptive!$B$3:$K$94,2,0)</f>
        <v>0.9</v>
      </c>
      <c r="D27" s="128">
        <f>VLOOKUP($B27,Descriptive!$B$3:$K$94,3,0)</f>
        <v>1</v>
      </c>
      <c r="E27" s="128">
        <f>VLOOKUP($B27,Descriptive!$B$3:$K$94,4,0)</f>
        <v>1.9</v>
      </c>
      <c r="F27" s="128">
        <f>VLOOKUP($B27,Descriptive!$B$3:$K$94,5,0)</f>
        <v>52.63157894736842</v>
      </c>
      <c r="G27" s="129">
        <f>VLOOKUP($B27,Descriptive!$B$3:$K$94,6,0)</f>
        <v>1999</v>
      </c>
    </row>
    <row r="28" spans="1:7" ht="12.75">
      <c r="A28" s="124" t="s">
        <v>560</v>
      </c>
      <c r="B28" s="125" t="s">
        <v>218</v>
      </c>
      <c r="C28" s="128">
        <f>VLOOKUP($B28,Descriptive!$B$3:$K$94,2,0)</f>
        <v>16.34</v>
      </c>
      <c r="D28" s="128">
        <f>VLOOKUP($B28,Descriptive!$B$3:$K$94,3,0)</f>
        <v>1.06</v>
      </c>
      <c r="E28" s="128">
        <f>VLOOKUP($B28,Descriptive!$B$3:$K$94,4,0)</f>
        <v>17.4</v>
      </c>
      <c r="F28" s="128">
        <f>VLOOKUP($B28,Descriptive!$B$3:$K$94,5,0)</f>
        <v>6.0919540229885065</v>
      </c>
      <c r="G28" s="129">
        <f>VLOOKUP($B28,Descriptive!$B$3:$K$94,6,0)</f>
        <v>2000</v>
      </c>
    </row>
    <row r="29" spans="1:7" ht="12.75">
      <c r="A29" s="124" t="s">
        <v>560</v>
      </c>
      <c r="B29" s="125" t="s">
        <v>245</v>
      </c>
      <c r="C29" s="128">
        <f>VLOOKUP($B29,Descriptive!$B$3:$K$94,2,0)</f>
        <v>1.8</v>
      </c>
      <c r="D29" s="128">
        <f>VLOOKUP($B29,Descriptive!$B$3:$K$94,3,0)</f>
        <v>1.1</v>
      </c>
      <c r="E29" s="128">
        <f>VLOOKUP($B29,Descriptive!$B$3:$K$94,4,0)</f>
        <v>2.9</v>
      </c>
      <c r="F29" s="128">
        <f>VLOOKUP($B29,Descriptive!$B$3:$K$94,5,0)</f>
        <v>37.931034482758626</v>
      </c>
      <c r="G29" s="129">
        <f>VLOOKUP($B29,Descriptive!$B$3:$K$94,6,0)</f>
        <v>2004</v>
      </c>
    </row>
    <row r="30" spans="1:7" ht="12.75">
      <c r="A30" s="124" t="s">
        <v>560</v>
      </c>
      <c r="B30" s="125" t="s">
        <v>247</v>
      </c>
      <c r="C30" s="128">
        <f>VLOOKUP($B30,Descriptive!$B$3:$K$94,2,0)</f>
        <v>0.7</v>
      </c>
      <c r="D30" s="128">
        <f>VLOOKUP($B30,Descriptive!$B$3:$K$94,3,0)</f>
        <v>1.1</v>
      </c>
      <c r="E30" s="128">
        <f>VLOOKUP($B30,Descriptive!$B$3:$K$94,4,0)</f>
        <v>1.8</v>
      </c>
      <c r="F30" s="128">
        <f>VLOOKUP($B30,Descriptive!$B$3:$K$94,5,0)</f>
        <v>61.111111111111114</v>
      </c>
      <c r="G30" s="129">
        <f>VLOOKUP($B30,Descriptive!$B$3:$K$94,6,0)</f>
        <v>2000</v>
      </c>
    </row>
    <row r="31" spans="1:7" ht="12.75">
      <c r="A31" s="124" t="s">
        <v>560</v>
      </c>
      <c r="B31" s="125" t="s">
        <v>252</v>
      </c>
      <c r="C31" s="128">
        <f>VLOOKUP($B31,Descriptive!$B$3:$K$94,2,0)</f>
        <v>5.4</v>
      </c>
      <c r="D31" s="128">
        <f>VLOOKUP($B31,Descriptive!$B$3:$K$94,3,0)</f>
        <v>1.1</v>
      </c>
      <c r="E31" s="128">
        <f>VLOOKUP($B31,Descriptive!$B$3:$K$94,4,0)</f>
        <v>6.5</v>
      </c>
      <c r="F31" s="128">
        <f>VLOOKUP($B31,Descriptive!$B$3:$K$94,5,0)</f>
        <v>16.923076923076923</v>
      </c>
      <c r="G31" s="129">
        <f>VLOOKUP($B31,Descriptive!$B$3:$K$94,6,0)</f>
        <v>2000</v>
      </c>
    </row>
    <row r="32" spans="1:7" ht="12.75">
      <c r="A32" s="124" t="s">
        <v>560</v>
      </c>
      <c r="B32" s="125" t="s">
        <v>219</v>
      </c>
      <c r="C32" s="128">
        <f>VLOOKUP($B32,Descriptive!$B$3:$K$94,2,0)</f>
        <v>8.9</v>
      </c>
      <c r="D32" s="128">
        <f>VLOOKUP($B32,Descriptive!$B$3:$K$94,3,0)</f>
        <v>1.1</v>
      </c>
      <c r="E32" s="128">
        <f>VLOOKUP($B32,Descriptive!$B$3:$K$94,4,0)</f>
        <v>10</v>
      </c>
      <c r="F32" s="128">
        <f>VLOOKUP($B32,Descriptive!$B$3:$K$94,5,0)</f>
        <v>11</v>
      </c>
      <c r="G32" s="129">
        <f>VLOOKUP($B32,Descriptive!$B$3:$K$94,6,0)</f>
        <v>2002</v>
      </c>
    </row>
    <row r="33" spans="1:7" ht="12.75">
      <c r="A33" s="124" t="s">
        <v>560</v>
      </c>
      <c r="B33" s="125" t="s">
        <v>583</v>
      </c>
      <c r="C33" s="128">
        <f>VLOOKUP($B33,Descriptive!$B$3:$K$94,2,0)</f>
        <v>1.5</v>
      </c>
      <c r="D33" s="128">
        <f>VLOOKUP($B33,Descriptive!$B$3:$K$94,3,0)</f>
        <v>1.1</v>
      </c>
      <c r="E33" s="128">
        <f>VLOOKUP($B33,Descriptive!$B$3:$K$94,4,0)</f>
        <v>2.6</v>
      </c>
      <c r="F33" s="128">
        <f>VLOOKUP($B33,Descriptive!$B$3:$K$94,5,0)</f>
        <v>42.30769230769231</v>
      </c>
      <c r="G33" s="129">
        <f>VLOOKUP($B33,Descriptive!$B$3:$K$94,6,0)</f>
        <v>1998</v>
      </c>
    </row>
    <row r="34" spans="1:7" ht="12.75">
      <c r="A34" s="124" t="s">
        <v>560</v>
      </c>
      <c r="B34" s="125" t="s">
        <v>203</v>
      </c>
      <c r="C34" s="128">
        <f>VLOOKUP($B34,Descriptive!$B$3:$K$94,2,0)</f>
        <v>5.5</v>
      </c>
      <c r="D34" s="128">
        <f>VLOOKUP($B34,Descriptive!$B$3:$K$94,3,0)</f>
        <v>1.2</v>
      </c>
      <c r="E34" s="128">
        <f>VLOOKUP($B34,Descriptive!$B$3:$K$94,4,0)</f>
        <v>6.7</v>
      </c>
      <c r="F34" s="128">
        <f>VLOOKUP($B34,Descriptive!$B$3:$K$94,5,0)</f>
        <v>17.91044776119403</v>
      </c>
      <c r="G34" s="129">
        <f>VLOOKUP($B34,Descriptive!$B$3:$K$94,6,0)</f>
        <v>2005</v>
      </c>
    </row>
    <row r="35" spans="1:7" ht="12.75">
      <c r="A35" s="124" t="s">
        <v>560</v>
      </c>
      <c r="B35" s="125" t="s">
        <v>208</v>
      </c>
      <c r="C35" s="128">
        <f>VLOOKUP($B35,Descriptive!$B$3:$K$94,2,0)</f>
        <v>9.5</v>
      </c>
      <c r="D35" s="128">
        <f>VLOOKUP($B35,Descriptive!$B$3:$K$94,3,0)</f>
        <v>1.2</v>
      </c>
      <c r="E35" s="128">
        <f>VLOOKUP($B35,Descriptive!$B$3:$K$94,4,0)</f>
        <v>10.7</v>
      </c>
      <c r="F35" s="128">
        <f>VLOOKUP($B35,Descriptive!$B$3:$K$94,5,0)</f>
        <v>11.214953271028037</v>
      </c>
      <c r="G35" s="129">
        <f>VLOOKUP($B35,Descriptive!$B$3:$K$94,6,0)</f>
        <v>2004</v>
      </c>
    </row>
    <row r="36" spans="1:7" ht="12.75">
      <c r="A36" s="124" t="s">
        <v>560</v>
      </c>
      <c r="B36" s="125" t="s">
        <v>227</v>
      </c>
      <c r="C36" s="128" t="str">
        <f>VLOOKUP($B36,Descriptive!$B$3:$K$94,2,0)</f>
        <v>NA</v>
      </c>
      <c r="D36" s="128">
        <f>VLOOKUP($B36,Descriptive!$B$3:$K$94,3,0)</f>
        <v>1.3</v>
      </c>
      <c r="E36" s="128" t="str">
        <f>VLOOKUP($B36,Descriptive!$B$3:$K$94,4,0)</f>
        <v>NA</v>
      </c>
      <c r="F36" s="128" t="str">
        <f>VLOOKUP($B36,Descriptive!$B$3:$K$94,5,0)</f>
        <v>NA</v>
      </c>
      <c r="G36" s="129">
        <f>VLOOKUP($B36,Descriptive!$B$3:$K$94,6,0)</f>
        <v>2006</v>
      </c>
    </row>
    <row r="37" spans="1:7" ht="12.75">
      <c r="A37" s="124" t="s">
        <v>560</v>
      </c>
      <c r="B37" s="125" t="s">
        <v>199</v>
      </c>
      <c r="C37" s="128">
        <f>VLOOKUP($B37,Descriptive!$B$3:$K$94,2,0)</f>
        <v>4</v>
      </c>
      <c r="D37" s="128">
        <f>VLOOKUP($B37,Descriptive!$B$3:$K$94,3,0)</f>
        <v>1.31</v>
      </c>
      <c r="E37" s="128">
        <f>VLOOKUP($B37,Descriptive!$B$3:$K$94,4,0)</f>
        <v>5.3100000000000005</v>
      </c>
      <c r="F37" s="128">
        <f>VLOOKUP($B37,Descriptive!$B$3:$K$94,5,0)</f>
        <v>24.670433145009415</v>
      </c>
      <c r="G37" s="129">
        <f>VLOOKUP($B37,Descriptive!$B$3:$K$94,6,0)</f>
        <v>2002</v>
      </c>
    </row>
    <row r="38" spans="1:7" ht="12.75">
      <c r="A38" s="124" t="s">
        <v>560</v>
      </c>
      <c r="B38" s="130" t="s">
        <v>216</v>
      </c>
      <c r="C38" s="128">
        <f>VLOOKUP($B38,Descriptive!$B$3:$K$94,2,0)</f>
        <v>9.935</v>
      </c>
      <c r="D38" s="128">
        <f>VLOOKUP($B38,Descriptive!$B$3:$K$94,3,0)</f>
        <v>1.345</v>
      </c>
      <c r="E38" s="128">
        <f>VLOOKUP($B38,Descriptive!$B$3:$K$94,4,0)</f>
        <v>11.285</v>
      </c>
      <c r="F38" s="128">
        <f>VLOOKUP($B38,Descriptive!$B$3:$K$94,5,0)</f>
        <v>11.918475852902082</v>
      </c>
      <c r="G38" s="129">
        <f>VLOOKUP($B38,Descriptive!$B$3:$K$94,6,0)</f>
        <v>2001</v>
      </c>
    </row>
    <row r="39" spans="1:7" ht="12.75">
      <c r="A39" s="124" t="s">
        <v>560</v>
      </c>
      <c r="B39" s="125" t="s">
        <v>229</v>
      </c>
      <c r="C39" s="128">
        <f>VLOOKUP($B39,Descriptive!$B$3:$K$94,2,0)</f>
        <v>5.9495</v>
      </c>
      <c r="D39" s="128">
        <f>VLOOKUP($B39,Descriptive!$B$3:$K$94,3,0)</f>
        <v>1.3505000000000003</v>
      </c>
      <c r="E39" s="128">
        <f>VLOOKUP($B39,Descriptive!$B$3:$K$94,4,0)</f>
        <v>7.3</v>
      </c>
      <c r="F39" s="128">
        <f>VLOOKUP($B39,Descriptive!$B$3:$K$94,5,0)</f>
        <v>18.5</v>
      </c>
      <c r="G39" s="129">
        <f>VLOOKUP($B39,Descriptive!$B$3:$K$94,6,0)</f>
        <v>2000</v>
      </c>
    </row>
    <row r="40" spans="1:7" ht="12.75">
      <c r="A40" s="124" t="s">
        <v>560</v>
      </c>
      <c r="B40" s="125" t="s">
        <v>239</v>
      </c>
      <c r="C40" s="128">
        <f>VLOOKUP($B40,Descriptive!$B$3:$K$94,2,0)</f>
        <v>11.7</v>
      </c>
      <c r="D40" s="128">
        <f>VLOOKUP($B40,Descriptive!$B$3:$K$94,3,0)</f>
        <v>1.4</v>
      </c>
      <c r="E40" s="128">
        <f>VLOOKUP($B40,Descriptive!$B$3:$K$94,4,0)</f>
        <v>13.1</v>
      </c>
      <c r="F40" s="128">
        <f>VLOOKUP($B40,Descriptive!$B$3:$K$94,5,0)</f>
        <v>10.687022900763358</v>
      </c>
      <c r="G40" s="129">
        <f>VLOOKUP($B40,Descriptive!$B$3:$K$94,6,0)</f>
        <v>2004</v>
      </c>
    </row>
    <row r="41" spans="1:7" ht="12.75">
      <c r="A41" s="124" t="s">
        <v>560</v>
      </c>
      <c r="B41" s="130" t="s">
        <v>494</v>
      </c>
      <c r="C41" s="128">
        <f>VLOOKUP($B41,Descriptive!$B$3:$K$94,2,0)</f>
        <v>10.6</v>
      </c>
      <c r="D41" s="128">
        <f>VLOOKUP($B41,Descriptive!$B$3:$K$94,3,0)</f>
        <v>1.4</v>
      </c>
      <c r="E41" s="128">
        <f>VLOOKUP($B41,Descriptive!$B$3:$K$94,4,0)</f>
        <v>12</v>
      </c>
      <c r="F41" s="128">
        <f>VLOOKUP($B41,Descriptive!$B$3:$K$94,5,0)</f>
        <v>11.666666666666666</v>
      </c>
      <c r="G41" s="129">
        <f>VLOOKUP($B41,Descriptive!$B$3:$K$94,6,0)</f>
        <v>2000</v>
      </c>
    </row>
    <row r="42" spans="1:7" ht="12.75">
      <c r="A42" s="124" t="s">
        <v>560</v>
      </c>
      <c r="B42" s="125" t="s">
        <v>276</v>
      </c>
      <c r="C42" s="128">
        <f>VLOOKUP($B42,Descriptive!$B$3:$K$94,2,0)</f>
        <v>12.6</v>
      </c>
      <c r="D42" s="128">
        <f>VLOOKUP($B42,Descriptive!$B$3:$K$94,3,0)</f>
        <v>1.4</v>
      </c>
      <c r="E42" s="128">
        <f>VLOOKUP($B42,Descriptive!$B$3:$K$94,4,0)</f>
        <v>14</v>
      </c>
      <c r="F42" s="128">
        <f>VLOOKUP($B42,Descriptive!$B$3:$K$94,5,0)</f>
        <v>10</v>
      </c>
      <c r="G42" s="129">
        <f>VLOOKUP($B42,Descriptive!$B$3:$K$94,6,0)</f>
        <v>2005</v>
      </c>
    </row>
    <row r="43" spans="1:7" ht="12.75">
      <c r="A43" s="124" t="s">
        <v>560</v>
      </c>
      <c r="B43" s="125" t="s">
        <v>237</v>
      </c>
      <c r="C43" s="128">
        <f>VLOOKUP($B43,Descriptive!$B$3:$K$94,2,0)</f>
        <v>7.7</v>
      </c>
      <c r="D43" s="128">
        <f>VLOOKUP($B43,Descriptive!$B$3:$K$94,3,0)</f>
        <v>1.5</v>
      </c>
      <c r="E43" s="128">
        <f>VLOOKUP($B43,Descriptive!$B$3:$K$94,4,0)</f>
        <v>9.2</v>
      </c>
      <c r="F43" s="128">
        <f>VLOOKUP($B43,Descriptive!$B$3:$K$94,5,0)</f>
        <v>16.304347826086957</v>
      </c>
      <c r="G43" s="129">
        <f>VLOOKUP($B43,Descriptive!$B$3:$K$94,6,0)</f>
        <v>2004</v>
      </c>
    </row>
    <row r="44" spans="1:7" ht="12.75">
      <c r="A44" s="124" t="s">
        <v>560</v>
      </c>
      <c r="B44" s="125" t="s">
        <v>242</v>
      </c>
      <c r="C44" s="128">
        <f>VLOOKUP($B44,Descriptive!$B$3:$K$94,2,0)</f>
        <v>4.3</v>
      </c>
      <c r="D44" s="128">
        <f>VLOOKUP($B44,Descriptive!$B$3:$K$94,3,0)</f>
        <v>1.5</v>
      </c>
      <c r="E44" s="128">
        <f>VLOOKUP($B44,Descriptive!$B$3:$K$94,4,0)</f>
        <v>5.8</v>
      </c>
      <c r="F44" s="128">
        <f>VLOOKUP($B44,Descriptive!$B$3:$K$94,5,0)</f>
        <v>25.862068965517242</v>
      </c>
      <c r="G44" s="129">
        <f>VLOOKUP($B44,Descriptive!$B$3:$K$94,6,0)</f>
        <v>2004</v>
      </c>
    </row>
    <row r="45" spans="1:7" ht="12.75">
      <c r="A45" s="124" t="s">
        <v>560</v>
      </c>
      <c r="B45" s="125" t="s">
        <v>211</v>
      </c>
      <c r="C45" s="128">
        <f>VLOOKUP($B45,Descriptive!$B$3:$K$94,2,0)</f>
        <v>2.7</v>
      </c>
      <c r="D45" s="128">
        <f>VLOOKUP($B45,Descriptive!$B$3:$K$94,3,0)</f>
        <v>1.5</v>
      </c>
      <c r="E45" s="128">
        <f>VLOOKUP($B45,Descriptive!$B$3:$K$94,4,0)</f>
        <v>4.2</v>
      </c>
      <c r="F45" s="128">
        <f>VLOOKUP($B45,Descriptive!$B$3:$K$94,5,0)</f>
        <v>35.714285714285715</v>
      </c>
      <c r="G45" s="129">
        <f>VLOOKUP($B45,Descriptive!$B$3:$K$94,6,0)</f>
        <v>2000</v>
      </c>
    </row>
    <row r="46" spans="1:7" ht="12.75">
      <c r="A46" s="124" t="s">
        <v>560</v>
      </c>
      <c r="B46" s="130" t="s">
        <v>205</v>
      </c>
      <c r="C46" s="128">
        <f>VLOOKUP($B46,Descriptive!$B$3:$K$94,2,0)</f>
        <v>3.7</v>
      </c>
      <c r="D46" s="128">
        <f>VLOOKUP($B46,Descriptive!$B$3:$K$94,3,0)</f>
        <v>1.6</v>
      </c>
      <c r="E46" s="128">
        <f>VLOOKUP($B46,Descriptive!$B$3:$K$94,4,0)</f>
        <v>5.3</v>
      </c>
      <c r="F46" s="128">
        <f>VLOOKUP($B46,Descriptive!$B$3:$K$94,5,0)</f>
        <v>30.188679245283023</v>
      </c>
      <c r="G46" s="129">
        <f>VLOOKUP($B46,Descriptive!$B$3:$K$94,6,0)</f>
        <v>2001</v>
      </c>
    </row>
    <row r="47" spans="1:7" ht="12.75">
      <c r="A47" s="124" t="s">
        <v>560</v>
      </c>
      <c r="B47" s="125" t="s">
        <v>246</v>
      </c>
      <c r="C47" s="128">
        <f>VLOOKUP($B47,Descriptive!$B$3:$K$94,2,0)</f>
        <v>1.8</v>
      </c>
      <c r="D47" s="128">
        <f>VLOOKUP($B47,Descriptive!$B$3:$K$94,3,0)</f>
        <v>1.6</v>
      </c>
      <c r="E47" s="128">
        <f>VLOOKUP($B47,Descriptive!$B$3:$K$94,4,0)</f>
        <v>3.4</v>
      </c>
      <c r="F47" s="128">
        <f>VLOOKUP($B47,Descriptive!$B$3:$K$94,5,0)</f>
        <v>47.05882352941177</v>
      </c>
      <c r="G47" s="129">
        <f>VLOOKUP($B47,Descriptive!$B$3:$K$94,6,0)</f>
        <v>2001</v>
      </c>
    </row>
    <row r="48" spans="1:7" ht="12.75">
      <c r="A48" s="124" t="s">
        <v>562</v>
      </c>
      <c r="B48" s="125" t="s">
        <v>586</v>
      </c>
      <c r="C48" s="128">
        <f>VLOOKUP($B48,Descriptive!$B$3:$K$94,2,0)</f>
        <v>2.7</v>
      </c>
      <c r="D48" s="128">
        <f>VLOOKUP($B48,Descriptive!$B$3:$K$94,3,0)</f>
        <v>1.61</v>
      </c>
      <c r="E48" s="128">
        <f>VLOOKUP($B48,Descriptive!$B$3:$K$94,4,0)</f>
        <v>4.31</v>
      </c>
      <c r="F48" s="128">
        <f>VLOOKUP($B48,Descriptive!$B$3:$K$94,5,0)</f>
        <v>37.35498839907193</v>
      </c>
      <c r="G48" s="129">
        <v>2000</v>
      </c>
    </row>
    <row r="49" spans="1:7" ht="12.75">
      <c r="A49" s="124" t="s">
        <v>562</v>
      </c>
      <c r="B49" s="125" t="s">
        <v>587</v>
      </c>
      <c r="C49" s="128">
        <f>VLOOKUP($B49,Descriptive!$B$3:$K$94,2,0)</f>
        <v>0.7</v>
      </c>
      <c r="D49" s="128">
        <f>VLOOKUP($B49,Descriptive!$B$3:$K$94,3,0)</f>
        <v>1.7</v>
      </c>
      <c r="E49" s="128">
        <f>VLOOKUP($B49,Descriptive!$B$3:$K$94,4,0)</f>
        <v>2.4</v>
      </c>
      <c r="F49" s="128">
        <f>VLOOKUP($B49,Descriptive!$B$3:$K$94,5,0)</f>
        <v>70.83333333333334</v>
      </c>
      <c r="G49" s="129">
        <f>VLOOKUP($B49,Descriptive!$B$3:$K$94,6,0)</f>
        <v>2004</v>
      </c>
    </row>
    <row r="50" spans="1:7" ht="12.75">
      <c r="A50" s="124" t="s">
        <v>562</v>
      </c>
      <c r="B50" s="125" t="s">
        <v>253</v>
      </c>
      <c r="C50" s="128">
        <f>VLOOKUP($B50,Descriptive!$B$3:$K$94,2,0)</f>
        <v>5</v>
      </c>
      <c r="D50" s="128">
        <f>VLOOKUP($B50,Descriptive!$B$3:$K$94,3,0)</f>
        <v>1.7</v>
      </c>
      <c r="E50" s="128">
        <f>VLOOKUP($B50,Descriptive!$B$3:$K$94,4,0)</f>
        <v>6.7</v>
      </c>
      <c r="F50" s="128">
        <f>VLOOKUP($B50,Descriptive!$B$3:$K$94,5,0)</f>
        <v>25.37313432835821</v>
      </c>
      <c r="G50" s="129">
        <f>VLOOKUP($B50,Descriptive!$B$3:$K$94,6,0)</f>
        <v>2005</v>
      </c>
    </row>
    <row r="51" spans="1:7" ht="12.75">
      <c r="A51" s="124" t="s">
        <v>562</v>
      </c>
      <c r="B51" s="125" t="s">
        <v>590</v>
      </c>
      <c r="C51" s="128">
        <f>VLOOKUP($B51,Descriptive!$B$3:$K$94,2,0)</f>
        <v>7.5342</v>
      </c>
      <c r="D51" s="128">
        <f>VLOOKUP($B51,Descriptive!$B$3:$K$94,3,0)</f>
        <v>1.7</v>
      </c>
      <c r="E51" s="128">
        <f>VLOOKUP($B51,Descriptive!$B$3:$K$94,4,0)</f>
        <v>9.2342</v>
      </c>
      <c r="F51" s="128">
        <f>VLOOKUP($B51,Descriptive!$B$3:$K$94,5,0)</f>
        <v>18.4098243486171</v>
      </c>
      <c r="G51" s="129">
        <f>VLOOKUP($B51,Descriptive!$B$3:$K$94,6,0)</f>
        <v>2005</v>
      </c>
    </row>
    <row r="52" spans="1:7" ht="12.75">
      <c r="A52" s="124" t="s">
        <v>562</v>
      </c>
      <c r="B52" s="125" t="s">
        <v>209</v>
      </c>
      <c r="C52" s="128">
        <f>VLOOKUP($B52,Descriptive!$B$3:$K$94,2,0)</f>
        <v>12.4</v>
      </c>
      <c r="D52" s="128">
        <f>VLOOKUP($B52,Descriptive!$B$3:$K$94,3,0)</f>
        <v>1.8</v>
      </c>
      <c r="E52" s="128">
        <f>VLOOKUP($B52,Descriptive!$B$3:$K$94,4,0)</f>
        <v>14.2</v>
      </c>
      <c r="F52" s="128">
        <f>VLOOKUP($B52,Descriptive!$B$3:$K$94,5,0)</f>
        <v>12.676056338028168</v>
      </c>
      <c r="G52" s="129">
        <f>VLOOKUP($B52,Descriptive!$B$3:$K$94,6,0)</f>
        <v>2000</v>
      </c>
    </row>
    <row r="53" spans="1:7" ht="12.75">
      <c r="A53" s="124" t="s">
        <v>562</v>
      </c>
      <c r="B53" s="125" t="s">
        <v>220</v>
      </c>
      <c r="C53" s="128">
        <f>VLOOKUP($B53,Descriptive!$B$3:$K$94,2,0)</f>
        <v>7.2</v>
      </c>
      <c r="D53" s="128">
        <f>VLOOKUP($B53,Descriptive!$B$3:$K$94,3,0)</f>
        <v>1.8</v>
      </c>
      <c r="E53" s="128">
        <f>VLOOKUP($B53,Descriptive!$B$3:$K$94,4,0)</f>
        <v>9</v>
      </c>
      <c r="F53" s="128">
        <f>VLOOKUP($B53,Descriptive!$B$3:$K$94,5,0)</f>
        <v>20</v>
      </c>
      <c r="G53" s="129">
        <f>VLOOKUP($B53,Descriptive!$B$3:$K$94,6,0)</f>
        <v>2006</v>
      </c>
    </row>
    <row r="54" spans="1:7" ht="12.75">
      <c r="A54" s="124" t="s">
        <v>562</v>
      </c>
      <c r="B54" s="125" t="s">
        <v>201</v>
      </c>
      <c r="C54" s="128">
        <f>VLOOKUP($B54,Descriptive!$B$3:$K$94,2,0)</f>
        <v>2.77</v>
      </c>
      <c r="D54" s="128">
        <f>VLOOKUP($B54,Descriptive!$B$3:$K$94,3,0)</f>
        <v>1.9</v>
      </c>
      <c r="E54" s="128">
        <f>VLOOKUP($B54,Descriptive!$B$3:$K$94,4,0)</f>
        <v>4.67</v>
      </c>
      <c r="F54" s="128">
        <f>VLOOKUP($B54,Descriptive!$B$3:$K$94,5,0)</f>
        <v>40.685224839400426</v>
      </c>
      <c r="G54" s="129">
        <v>1998</v>
      </c>
    </row>
    <row r="55" spans="1:7" ht="12.75">
      <c r="A55" s="124" t="s">
        <v>562</v>
      </c>
      <c r="B55" s="125" t="s">
        <v>238</v>
      </c>
      <c r="C55" s="128">
        <f>VLOOKUP($B55,Descriptive!$B$3:$K$94,2,0)</f>
        <v>6.300000000000001</v>
      </c>
      <c r="D55" s="128">
        <f>VLOOKUP($B55,Descriptive!$B$3:$K$94,3,0)</f>
        <v>2</v>
      </c>
      <c r="E55" s="128">
        <f>VLOOKUP($B55,Descriptive!$B$3:$K$94,4,0)</f>
        <v>8.3</v>
      </c>
      <c r="F55" s="128">
        <f>VLOOKUP($B55,Descriptive!$B$3:$K$94,5,0)</f>
        <v>24.096385542168672</v>
      </c>
      <c r="G55" s="129">
        <f>VLOOKUP($B55,Descriptive!$B$3:$K$94,6,0)</f>
        <v>2002</v>
      </c>
    </row>
    <row r="56" spans="1:7" ht="12.75">
      <c r="A56" s="124" t="s">
        <v>562</v>
      </c>
      <c r="B56" s="125" t="s">
        <v>275</v>
      </c>
      <c r="C56" s="128">
        <f>VLOOKUP($B56,Descriptive!$B$3:$K$94,2,0)</f>
        <v>16</v>
      </c>
      <c r="D56" s="128">
        <f>VLOOKUP($B56,Descriptive!$B$3:$K$94,3,0)</f>
        <v>2</v>
      </c>
      <c r="E56" s="128">
        <f>VLOOKUP($B56,Descriptive!$B$3:$K$94,4,0)</f>
        <v>18</v>
      </c>
      <c r="F56" s="128">
        <f>VLOOKUP($B56,Descriptive!$B$3:$K$94,5,0)</f>
        <v>11.11111111111111</v>
      </c>
      <c r="G56" s="129">
        <f>VLOOKUP($B56,Descriptive!$B$3:$K$94,6,0)</f>
        <v>2002</v>
      </c>
    </row>
    <row r="57" spans="1:7" ht="12.75">
      <c r="A57" s="124" t="s">
        <v>562</v>
      </c>
      <c r="B57" s="125" t="s">
        <v>255</v>
      </c>
      <c r="C57" s="128">
        <f>VLOOKUP($B57,Descriptive!$B$3:$K$94,2,0)</f>
        <v>0.6</v>
      </c>
      <c r="D57" s="128">
        <f>VLOOKUP($B57,Descriptive!$B$3:$K$94,3,0)</f>
        <v>2</v>
      </c>
      <c r="E57" s="128">
        <f>VLOOKUP($B57,Descriptive!$B$3:$K$94,4,0)</f>
        <v>2.6</v>
      </c>
      <c r="F57" s="128">
        <f>VLOOKUP($B57,Descriptive!$B$3:$K$94,5,0)</f>
        <v>76.92307692307692</v>
      </c>
      <c r="G57" s="129">
        <v>2000</v>
      </c>
    </row>
    <row r="58" spans="1:7" ht="12.75">
      <c r="A58" s="124" t="s">
        <v>562</v>
      </c>
      <c r="B58" s="125" t="s">
        <v>225</v>
      </c>
      <c r="C58" s="128">
        <f>VLOOKUP($B58,Descriptive!$B$3:$K$94,2,0)</f>
        <v>7</v>
      </c>
      <c r="D58" s="128">
        <f>VLOOKUP($B58,Descriptive!$B$3:$K$94,3,0)</f>
        <v>2</v>
      </c>
      <c r="E58" s="128">
        <f>VLOOKUP($B58,Descriptive!$B$3:$K$94,4,0)</f>
        <v>9</v>
      </c>
      <c r="F58" s="128">
        <f>VLOOKUP($B58,Descriptive!$B$3:$K$94,5,0)</f>
        <v>22.22222222222222</v>
      </c>
      <c r="G58" s="129">
        <f>VLOOKUP($B58,Descriptive!$B$3:$K$94,6,0)</f>
        <v>2000</v>
      </c>
    </row>
    <row r="59" spans="1:7" ht="12.75">
      <c r="A59" s="124" t="s">
        <v>562</v>
      </c>
      <c r="B59" s="130" t="s">
        <v>204</v>
      </c>
      <c r="C59" s="128">
        <f>VLOOKUP($B59,Descriptive!$B$3:$K$94,2,0)</f>
        <v>3</v>
      </c>
      <c r="D59" s="128">
        <f>VLOOKUP($B59,Descriptive!$B$3:$K$94,3,0)</f>
        <v>2.1</v>
      </c>
      <c r="E59" s="128">
        <f>VLOOKUP($B59,Descriptive!$B$3:$K$94,4,0)</f>
        <v>5.11</v>
      </c>
      <c r="F59" s="128">
        <f>VLOOKUP($B59,Descriptive!$B$3:$K$94,5,0)</f>
        <v>41.0958904109589</v>
      </c>
      <c r="G59" s="129">
        <f>VLOOKUP($B59,Descriptive!$B$3:$K$94,6,0)</f>
        <v>2002</v>
      </c>
    </row>
    <row r="60" spans="1:7" ht="12.75">
      <c r="A60" s="124" t="s">
        <v>562</v>
      </c>
      <c r="B60" s="125" t="s">
        <v>223</v>
      </c>
      <c r="C60" s="128">
        <f>VLOOKUP($B60,Descriptive!$B$3:$K$94,2,0)</f>
        <v>7.2</v>
      </c>
      <c r="D60" s="128">
        <f>VLOOKUP($B60,Descriptive!$B$3:$K$94,3,0)</f>
        <v>2.1000000000000005</v>
      </c>
      <c r="E60" s="128">
        <f>VLOOKUP($B60,Descriptive!$B$3:$K$94,4,0)</f>
        <v>9.3</v>
      </c>
      <c r="F60" s="128">
        <f>VLOOKUP($B60,Descriptive!$B$3:$K$94,5,0)</f>
        <v>22.580645161290327</v>
      </c>
      <c r="G60" s="129">
        <f>VLOOKUP($B60,Descriptive!$B$3:$K$94,6,0)</f>
        <v>2004</v>
      </c>
    </row>
    <row r="61" spans="1:7" ht="12.75">
      <c r="A61" s="124" t="s">
        <v>562</v>
      </c>
      <c r="B61" s="125" t="s">
        <v>243</v>
      </c>
      <c r="C61" s="128">
        <f>VLOOKUP($B61,Descriptive!$B$3:$K$94,2,0)</f>
        <v>3.41</v>
      </c>
      <c r="D61" s="128">
        <f>VLOOKUP($B61,Descriptive!$B$3:$K$94,3,0)</f>
        <v>2.15</v>
      </c>
      <c r="E61" s="128">
        <f>VLOOKUP($B61,Descriptive!$B$3:$K$94,4,0)</f>
        <v>5.56</v>
      </c>
      <c r="F61" s="128">
        <f>VLOOKUP($B61,Descriptive!$B$3:$K$94,5,0)</f>
        <v>38.66906474820144</v>
      </c>
      <c r="G61" s="129">
        <v>2000</v>
      </c>
    </row>
    <row r="62" spans="1:7" ht="12.75">
      <c r="A62" s="124" t="s">
        <v>562</v>
      </c>
      <c r="B62" s="125" t="s">
        <v>109</v>
      </c>
      <c r="C62" s="128">
        <f>VLOOKUP($B62,Descriptive!$B$3:$K$94,2,0)</f>
        <v>2.1</v>
      </c>
      <c r="D62" s="128">
        <f>VLOOKUP($B62,Descriptive!$B$3:$K$94,3,0)</f>
        <v>2.1999999999999997</v>
      </c>
      <c r="E62" s="128">
        <f>VLOOKUP($B62,Descriptive!$B$3:$K$94,4,0)</f>
        <v>4.3</v>
      </c>
      <c r="F62" s="128">
        <f>VLOOKUP($B62,Descriptive!$B$3:$K$94,5,0)</f>
        <v>51.16279069767441</v>
      </c>
      <c r="G62" s="129">
        <f>VLOOKUP($B62,Descriptive!$B$3:$K$94,6,0)</f>
        <v>2004</v>
      </c>
    </row>
    <row r="63" spans="1:7" ht="12.75">
      <c r="A63" s="124" t="s">
        <v>562</v>
      </c>
      <c r="B63" s="131" t="s">
        <v>213</v>
      </c>
      <c r="C63" s="128">
        <f>VLOOKUP($B63,Descriptive!$B$3:$K$94,2,0)</f>
        <v>3.2</v>
      </c>
      <c r="D63" s="128">
        <f>VLOOKUP($B63,Descriptive!$B$3:$K$94,3,0)</f>
        <v>2.2</v>
      </c>
      <c r="E63" s="128">
        <f>VLOOKUP($B63,Descriptive!$B$3:$K$94,4,0)</f>
        <v>5.4</v>
      </c>
      <c r="F63" s="128">
        <f>VLOOKUP($B63,Descriptive!$B$3:$K$94,5,0)</f>
        <v>40.74074074074075</v>
      </c>
      <c r="G63" s="129">
        <f>VLOOKUP($B63,Descriptive!$B$3:$K$94,6,0)</f>
        <v>2002</v>
      </c>
    </row>
    <row r="64" spans="1:7" ht="12.75">
      <c r="A64" s="124" t="s">
        <v>562</v>
      </c>
      <c r="B64" s="125" t="s">
        <v>524</v>
      </c>
      <c r="C64" s="128">
        <f>VLOOKUP($B64,Descriptive!$B$3:$K$94,2,0)</f>
        <v>1.2816</v>
      </c>
      <c r="D64" s="128">
        <f>VLOOKUP($B64,Descriptive!$B$3:$K$94,3,0)</f>
        <v>2.3184</v>
      </c>
      <c r="E64" s="128">
        <f>VLOOKUP($B64,Descriptive!$B$3:$K$94,4,0)</f>
        <v>3.6</v>
      </c>
      <c r="F64" s="128">
        <f>VLOOKUP($B64,Descriptive!$B$3:$K$94,5,0)</f>
        <v>64.4</v>
      </c>
      <c r="G64" s="129">
        <f>VLOOKUP($B64,Descriptive!$B$3:$K$94,6,0)</f>
        <v>2002</v>
      </c>
    </row>
    <row r="65" spans="1:7" ht="12.75">
      <c r="A65" s="124" t="s">
        <v>562</v>
      </c>
      <c r="B65" s="125" t="s">
        <v>202</v>
      </c>
      <c r="C65" s="128">
        <f>VLOOKUP($B65,Descriptive!$B$3:$K$94,2,0)</f>
        <v>4.2</v>
      </c>
      <c r="D65" s="128">
        <f>VLOOKUP($B65,Descriptive!$B$3:$K$94,3,0)</f>
        <v>2.32</v>
      </c>
      <c r="E65" s="128">
        <f>VLOOKUP($B65,Descriptive!$B$3:$K$94,4,0)</f>
        <v>6.52</v>
      </c>
      <c r="F65" s="128">
        <f>VLOOKUP($B65,Descriptive!$B$3:$K$94,5,0)</f>
        <v>35.58282208588957</v>
      </c>
      <c r="G65" s="129">
        <v>2000</v>
      </c>
    </row>
    <row r="66" spans="1:7" ht="12.75">
      <c r="A66" s="124" t="s">
        <v>562</v>
      </c>
      <c r="B66" s="125" t="s">
        <v>589</v>
      </c>
      <c r="C66" s="128">
        <f>VLOOKUP($B66,Descriptive!$B$3:$K$94,2,0)</f>
        <v>11.4</v>
      </c>
      <c r="D66" s="128">
        <f>VLOOKUP($B66,Descriptive!$B$3:$K$94,3,0)</f>
        <v>2.4</v>
      </c>
      <c r="E66" s="128">
        <f>VLOOKUP($B66,Descriptive!$B$3:$K$94,4,0)</f>
        <v>13.8</v>
      </c>
      <c r="F66" s="128">
        <f>VLOOKUP($B66,Descriptive!$B$3:$K$94,5,0)</f>
        <v>17.391304347826086</v>
      </c>
      <c r="G66" s="129">
        <f>VLOOKUP($B66,Descriptive!$B$3:$K$94,6,0)</f>
        <v>2000</v>
      </c>
    </row>
    <row r="67" spans="1:7" ht="12.75">
      <c r="A67" s="124" t="s">
        <v>562</v>
      </c>
      <c r="B67" s="125" t="s">
        <v>249</v>
      </c>
      <c r="C67" s="128">
        <f>VLOOKUP($B67,Descriptive!$B$3:$K$94,2,0)</f>
        <v>1.6</v>
      </c>
      <c r="D67" s="128">
        <f>VLOOKUP($B67,Descriptive!$B$3:$K$94,3,0)</f>
        <v>2.5</v>
      </c>
      <c r="E67" s="128">
        <f>VLOOKUP($B67,Descriptive!$B$3:$K$94,4,0)</f>
        <v>4.1</v>
      </c>
      <c r="F67" s="128">
        <f>VLOOKUP($B67,Descriptive!$B$3:$K$94,5,0)</f>
        <v>60.97560975609757</v>
      </c>
      <c r="G67" s="129">
        <f>VLOOKUP($B67,Descriptive!$B$3:$K$94,6,0)</f>
        <v>1999</v>
      </c>
    </row>
    <row r="68" spans="1:7" ht="12.75">
      <c r="A68" s="124" t="s">
        <v>562</v>
      </c>
      <c r="B68" s="131" t="s">
        <v>214</v>
      </c>
      <c r="C68" s="128">
        <f>VLOOKUP($B68,Descriptive!$B$3:$K$94,2,0)</f>
        <v>3.3</v>
      </c>
      <c r="D68" s="128">
        <f>VLOOKUP($B68,Descriptive!$B$3:$K$94,3,0)</f>
        <v>2.5</v>
      </c>
      <c r="E68" s="128">
        <f>VLOOKUP($B68,Descriptive!$B$3:$K$94,4,0)</f>
        <v>5.8</v>
      </c>
      <c r="F68" s="128">
        <f>VLOOKUP($B68,Descriptive!$B$3:$K$94,5,0)</f>
        <v>43.10344827586207</v>
      </c>
      <c r="G68" s="129">
        <f>VLOOKUP($B68,Descriptive!$B$3:$K$94,6,0)</f>
        <v>2003</v>
      </c>
    </row>
    <row r="69" spans="1:7" ht="12.75">
      <c r="A69" s="124" t="s">
        <v>562</v>
      </c>
      <c r="B69" s="125" t="s">
        <v>480</v>
      </c>
      <c r="C69" s="128">
        <f>VLOOKUP($B69,Descriptive!$B$3:$K$94,2,0)</f>
        <v>1.12</v>
      </c>
      <c r="D69" s="128">
        <f>VLOOKUP($B69,Descriptive!$B$3:$K$94,3,0)</f>
        <v>2.7</v>
      </c>
      <c r="E69" s="128">
        <f>VLOOKUP($B69,Descriptive!$B$3:$K$94,4,0)</f>
        <v>3.82</v>
      </c>
      <c r="F69" s="128">
        <f>VLOOKUP($B69,Descriptive!$B$3:$K$94,5,0)</f>
        <v>70.68062827225131</v>
      </c>
      <c r="G69" s="129">
        <f>VLOOKUP($B69,Descriptive!$B$3:$K$94,6,0)</f>
        <v>2000</v>
      </c>
    </row>
    <row r="70" spans="1:7" ht="12.75">
      <c r="A70" s="124" t="s">
        <v>562</v>
      </c>
      <c r="B70" s="125" t="s">
        <v>177</v>
      </c>
      <c r="C70" s="128" t="str">
        <f>VLOOKUP($B70,Descriptive!$B$3:$K$94,2,0)</f>
        <v>NA</v>
      </c>
      <c r="D70" s="128">
        <f>VLOOKUP($B70,Descriptive!$B$3:$K$94,3,0)</f>
        <v>3.2</v>
      </c>
      <c r="E70" s="128" t="str">
        <f>VLOOKUP($B70,Descriptive!$B$3:$K$94,4,0)</f>
        <v>NA</v>
      </c>
      <c r="F70" s="128" t="str">
        <f>VLOOKUP($B70,Descriptive!$B$3:$K$94,5,0)</f>
        <v>NA</v>
      </c>
      <c r="G70" s="129">
        <v>2002</v>
      </c>
    </row>
    <row r="71" spans="1:7" ht="12.75">
      <c r="A71" s="124" t="s">
        <v>562</v>
      </c>
      <c r="B71" s="125" t="s">
        <v>224</v>
      </c>
      <c r="C71" s="128">
        <f>VLOOKUP($B71,Descriptive!$B$3:$K$94,2,0)</f>
        <v>9.8</v>
      </c>
      <c r="D71" s="128">
        <f>VLOOKUP($B71,Descriptive!$B$3:$K$94,3,0)</f>
        <v>3.2</v>
      </c>
      <c r="E71" s="128">
        <f>VLOOKUP($B71,Descriptive!$B$3:$K$94,4,0)</f>
        <v>13</v>
      </c>
      <c r="F71" s="128">
        <f>VLOOKUP($B71,Descriptive!$B$3:$K$94,5,0)</f>
        <v>24.615384615384617</v>
      </c>
      <c r="G71" s="129">
        <f>VLOOKUP($B71,Descriptive!$B$3:$K$94,6,0)</f>
        <v>2000</v>
      </c>
    </row>
    <row r="72" spans="1:7" ht="12.75">
      <c r="A72" s="124" t="s">
        <v>562</v>
      </c>
      <c r="B72" s="125" t="s">
        <v>196</v>
      </c>
      <c r="C72" s="128">
        <f>VLOOKUP($B72,Descriptive!$B$3:$K$94,2,0)</f>
        <v>5</v>
      </c>
      <c r="D72" s="128">
        <f>VLOOKUP($B72,Descriptive!$B$3:$K$94,3,0)</f>
        <v>3.7</v>
      </c>
      <c r="E72" s="128">
        <f>VLOOKUP($B72,Descriptive!$B$3:$K$94,4,0)</f>
        <v>8.7</v>
      </c>
      <c r="F72" s="128">
        <f>VLOOKUP($B72,Descriptive!$B$3:$K$94,5,0)</f>
        <v>42.52873563218391</v>
      </c>
      <c r="G72" s="129">
        <f>VLOOKUP($B72,Descriptive!$B$3:$K$94,6,0)</f>
        <v>2000</v>
      </c>
    </row>
    <row r="73" spans="1:7" ht="12.75">
      <c r="A73" s="124" t="s">
        <v>561</v>
      </c>
      <c r="B73" s="125" t="s">
        <v>581</v>
      </c>
      <c r="C73" s="128">
        <f>VLOOKUP($B73,Descriptive!$B$3:$K$94,2,0)</f>
        <v>9.4</v>
      </c>
      <c r="D73" s="128">
        <f>VLOOKUP($B73,Descriptive!$B$3:$K$94,3,0)</f>
        <v>3.7</v>
      </c>
      <c r="E73" s="128">
        <f>VLOOKUP($B73,Descriptive!$B$3:$K$94,4,0)</f>
        <v>13.1</v>
      </c>
      <c r="F73" s="128">
        <f>VLOOKUP($B73,Descriptive!$B$3:$K$94,5,0)</f>
        <v>28.24427480916031</v>
      </c>
      <c r="G73" s="129">
        <v>2002</v>
      </c>
    </row>
    <row r="74" spans="1:7" ht="12.75">
      <c r="A74" s="124" t="s">
        <v>561</v>
      </c>
      <c r="B74" s="125" t="s">
        <v>192</v>
      </c>
      <c r="C74" s="128">
        <f>VLOOKUP($B74,Descriptive!$B$3:$K$94,2,0)</f>
        <v>1.66</v>
      </c>
      <c r="D74" s="128">
        <f>VLOOKUP($B74,Descriptive!$B$3:$K$94,3,0)</f>
        <v>4.4</v>
      </c>
      <c r="E74" s="128">
        <f>VLOOKUP($B74,Descriptive!$B$3:$K$94,4,0)</f>
        <v>6.1</v>
      </c>
      <c r="F74" s="128">
        <f>VLOOKUP($B74,Descriptive!$B$3:$K$94,5,0)</f>
        <v>72.13114754098362</v>
      </c>
      <c r="G74" s="129">
        <v>1999</v>
      </c>
    </row>
    <row r="75" spans="1:7" ht="12.75">
      <c r="A75" s="124" t="s">
        <v>561</v>
      </c>
      <c r="B75" s="125" t="s">
        <v>274</v>
      </c>
      <c r="C75" s="128" t="str">
        <f>VLOOKUP($B75,Descriptive!$B$3:$K$94,2,0)</f>
        <v>NA</v>
      </c>
      <c r="D75" s="128">
        <f>VLOOKUP($B75,Descriptive!$B$3:$K$94,3,0)</f>
        <v>4.5</v>
      </c>
      <c r="E75" s="128" t="str">
        <f>VLOOKUP($B75,Descriptive!$B$3:$K$94,4,0)</f>
        <v>NA</v>
      </c>
      <c r="F75" s="128" t="str">
        <f>VLOOKUP($B75,Descriptive!$B$3:$K$94,5,0)</f>
        <v>NA</v>
      </c>
      <c r="G75" s="129">
        <v>2001</v>
      </c>
    </row>
    <row r="76" spans="1:7" ht="12.75">
      <c r="A76" s="124" t="s">
        <v>561</v>
      </c>
      <c r="B76" s="125" t="s">
        <v>198</v>
      </c>
      <c r="C76" s="128">
        <f>VLOOKUP($B76,Descriptive!$B$3:$K$94,2,0)</f>
        <v>5.1</v>
      </c>
      <c r="D76" s="128">
        <f>VLOOKUP($B76,Descriptive!$B$3:$K$94,3,0)</f>
        <v>4.9</v>
      </c>
      <c r="E76" s="128">
        <f>VLOOKUP($B76,Descriptive!$B$3:$K$94,4,0)</f>
        <v>10</v>
      </c>
      <c r="F76" s="128">
        <f>VLOOKUP($B76,Descriptive!$B$3:$K$94,5,0)</f>
        <v>49.00000000000001</v>
      </c>
      <c r="G76" s="129">
        <f>VLOOKUP($B76,Descriptive!$B$3:$K$94,6,0)</f>
        <v>2003</v>
      </c>
    </row>
    <row r="77" spans="1:7" ht="12.75">
      <c r="A77" s="124" t="s">
        <v>561</v>
      </c>
      <c r="B77" s="125" t="s">
        <v>179</v>
      </c>
      <c r="C77" s="128">
        <f>VLOOKUP($B77,Descriptive!$B$3:$K$94,2,0)</f>
        <v>4.2</v>
      </c>
      <c r="D77" s="128">
        <f>VLOOKUP($B77,Descriptive!$B$3:$K$94,3,0)</f>
        <v>5.3</v>
      </c>
      <c r="E77" s="128">
        <f>VLOOKUP($B77,Descriptive!$B$3:$K$94,4,0)</f>
        <v>9.5</v>
      </c>
      <c r="F77" s="128">
        <f>VLOOKUP($B77,Descriptive!$B$3:$K$94,5,0)</f>
        <v>55.78947368421052</v>
      </c>
      <c r="G77" s="129">
        <v>2001</v>
      </c>
    </row>
    <row r="78" spans="1:7" ht="12.75">
      <c r="A78" s="124" t="s">
        <v>561</v>
      </c>
      <c r="B78" s="125" t="s">
        <v>207</v>
      </c>
      <c r="C78" s="128">
        <f>VLOOKUP($B78,Descriptive!$B$3:$K$94,2,0)</f>
        <v>8.9</v>
      </c>
      <c r="D78" s="128">
        <f>VLOOKUP($B78,Descriptive!$B$3:$K$94,3,0)</f>
        <v>6.9</v>
      </c>
      <c r="E78" s="128">
        <f>VLOOKUP($B78,Descriptive!$B$3:$K$94,4,0)</f>
        <v>15.8</v>
      </c>
      <c r="F78" s="128">
        <f>VLOOKUP($B78,Descriptive!$B$3:$K$94,5,0)</f>
        <v>43.67088607594937</v>
      </c>
      <c r="G78" s="129">
        <f>VLOOKUP($B78,Descriptive!$B$3:$K$94,6,0)</f>
        <v>2000</v>
      </c>
    </row>
    <row r="79" spans="1:7" ht="12.75">
      <c r="A79" s="124" t="s">
        <v>561</v>
      </c>
      <c r="B79" s="125" t="s">
        <v>98</v>
      </c>
      <c r="C79" s="128">
        <f>VLOOKUP($B79,Descriptive!$B$3:$K$94,2,0)</f>
        <v>3.160000000000002</v>
      </c>
      <c r="D79" s="128">
        <f>VLOOKUP($B79,Descriptive!$B$3:$K$94,3,0)</f>
        <v>15.94</v>
      </c>
      <c r="E79" s="128">
        <f>VLOOKUP($B79,Descriptive!$B$3:$K$94,4,0)</f>
        <v>19.1</v>
      </c>
      <c r="F79" s="128">
        <f>VLOOKUP($B79,Descriptive!$B$3:$K$94,5,0)</f>
        <v>83.45549738219894</v>
      </c>
      <c r="G79" s="129">
        <f>VLOOKUP($B79,Descriptive!$B$3:$K$94,6,0)</f>
        <v>2004</v>
      </c>
    </row>
    <row r="80" spans="1:7" ht="12.75">
      <c r="A80" s="124" t="s">
        <v>561</v>
      </c>
      <c r="B80" s="125" t="s">
        <v>197</v>
      </c>
      <c r="C80" s="128">
        <f>VLOOKUP($B80,Descriptive!$B$3:$K$94,2,0)</f>
        <v>1.39</v>
      </c>
      <c r="D80" s="128" t="str">
        <f>VLOOKUP($B80,Descriptive!$B$3:$K$94,3,0)</f>
        <v>NA</v>
      </c>
      <c r="E80" s="128" t="str">
        <f>VLOOKUP($B80,Descriptive!$B$3:$K$94,4,0)</f>
        <v>NA</v>
      </c>
      <c r="F80" s="128" t="str">
        <f>VLOOKUP($B80,Descriptive!$B$3:$K$94,5,0)</f>
        <v>NA</v>
      </c>
      <c r="G80" s="129">
        <f>VLOOKUP($B80,Descriptive!$B$3:$K$94,6,0)</f>
        <v>2000</v>
      </c>
    </row>
    <row r="81" spans="1:7" ht="12.75">
      <c r="A81" s="124" t="s">
        <v>561</v>
      </c>
      <c r="B81" s="130" t="s">
        <v>206</v>
      </c>
      <c r="C81" s="128" t="str">
        <f>VLOOKUP($B81,Descriptive!$B$3:$K$94,2,0)</f>
        <v>NA</v>
      </c>
      <c r="D81" s="128" t="str">
        <f>VLOOKUP($B81,Descriptive!$B$3:$K$94,3,0)</f>
        <v>NA</v>
      </c>
      <c r="E81" s="128">
        <f>VLOOKUP($B81,Descriptive!$B$3:$K$94,4,0)</f>
        <v>14.4</v>
      </c>
      <c r="F81" s="128" t="str">
        <f>VLOOKUP($B81,Descriptive!$B$3:$K$94,5,0)</f>
        <v>NA</v>
      </c>
      <c r="G81" s="129">
        <f>VLOOKUP($B81,Descriptive!$B$3:$K$94,6,0)</f>
        <v>2001</v>
      </c>
    </row>
    <row r="82" spans="1:7" ht="12.75">
      <c r="A82" s="124" t="s">
        <v>561</v>
      </c>
      <c r="B82" s="125" t="s">
        <v>373</v>
      </c>
      <c r="C82" s="128" t="str">
        <f>VLOOKUP($B82,Descriptive!$B$3:$K$94,2,0)</f>
        <v>NA</v>
      </c>
      <c r="D82" s="128" t="str">
        <f>VLOOKUP($B82,Descriptive!$B$3:$K$94,3,0)</f>
        <v>NA</v>
      </c>
      <c r="E82" s="128">
        <f>VLOOKUP($B82,Descriptive!$B$3:$K$94,4,0)</f>
        <v>2.7</v>
      </c>
      <c r="F82" s="128" t="str">
        <f>VLOOKUP($B82,Descriptive!$B$3:$K$94,5,0)</f>
        <v>NA</v>
      </c>
      <c r="G82" s="129">
        <f>VLOOKUP($B82,Descriptive!$B$3:$K$94,6,0)</f>
        <v>1996</v>
      </c>
    </row>
    <row r="83" spans="1:7" ht="12.75">
      <c r="A83" s="124" t="s">
        <v>561</v>
      </c>
      <c r="B83" s="125" t="s">
        <v>136</v>
      </c>
      <c r="C83" s="128">
        <f>VLOOKUP($B83,Descriptive!$B$3:$K$94,2,0)</f>
        <v>0.1</v>
      </c>
      <c r="D83" s="128" t="str">
        <f>VLOOKUP($B83,Descriptive!$B$3:$K$94,3,0)</f>
        <v>NA</v>
      </c>
      <c r="E83" s="128" t="str">
        <f>VLOOKUP($B83,Descriptive!$B$3:$K$94,4,0)</f>
        <v>NA</v>
      </c>
      <c r="F83" s="128" t="str">
        <f>VLOOKUP($B83,Descriptive!$B$3:$K$94,5,0)</f>
        <v>NA</v>
      </c>
      <c r="G83" s="129">
        <f>VLOOKUP($B83,Descriptive!$B$3:$K$94,6,0)</f>
        <v>2002</v>
      </c>
    </row>
    <row r="84" spans="1:7" ht="12.75">
      <c r="A84" s="124" t="s">
        <v>561</v>
      </c>
      <c r="B84" s="125" t="s">
        <v>226</v>
      </c>
      <c r="C84" s="128" t="str">
        <f>VLOOKUP($B84,Descriptive!$B$3:$K$94,2,0)</f>
        <v>NA</v>
      </c>
      <c r="D84" s="128" t="str">
        <f>VLOOKUP($B84,Descriptive!$B$3:$K$94,3,0)</f>
        <v>NA</v>
      </c>
      <c r="E84" s="128">
        <f>VLOOKUP($B84,Descriptive!$B$3:$K$94,4,0)</f>
        <v>0.7</v>
      </c>
      <c r="F84" s="128" t="str">
        <f>VLOOKUP($B84,Descriptive!$B$3:$K$94,5,0)</f>
        <v>NA</v>
      </c>
      <c r="G84" s="129">
        <f>VLOOKUP($B84,Descriptive!$B$3:$K$94,6,0)</f>
        <v>2002</v>
      </c>
    </row>
    <row r="85" spans="1:7" ht="12.75">
      <c r="A85" s="124" t="s">
        <v>561</v>
      </c>
      <c r="B85" s="125" t="s">
        <v>248</v>
      </c>
      <c r="C85" s="128" t="str">
        <f>VLOOKUP($B85,Descriptive!$B$3:$K$94,2,0)</f>
        <v>NA</v>
      </c>
      <c r="D85" s="128" t="str">
        <f>VLOOKUP($B85,Descriptive!$B$3:$K$94,3,0)</f>
        <v>NA</v>
      </c>
      <c r="E85" s="128">
        <f>VLOOKUP($B85,Descriptive!$B$3:$K$94,4,0)</f>
        <v>2</v>
      </c>
      <c r="F85" s="128" t="str">
        <f>VLOOKUP($B85,Descriptive!$B$3:$K$94,5,0)</f>
        <v>NA</v>
      </c>
      <c r="G85" s="129">
        <f>VLOOKUP($B85,Descriptive!$B$3:$K$94,6,0)</f>
        <v>2000</v>
      </c>
    </row>
    <row r="86" spans="1:7" ht="12.75">
      <c r="A86" s="124" t="s">
        <v>561</v>
      </c>
      <c r="B86" s="125" t="s">
        <v>488</v>
      </c>
      <c r="C86" s="128" t="str">
        <f>VLOOKUP($B86,Descriptive!$B$3:$K$94,2,0)</f>
        <v>NA</v>
      </c>
      <c r="D86" s="128" t="str">
        <f>VLOOKUP($B86,Descriptive!$B$3:$K$94,3,0)</f>
        <v>NA</v>
      </c>
      <c r="E86" s="128">
        <f>VLOOKUP($B86,Descriptive!$B$3:$K$94,4,0)</f>
        <v>1.9</v>
      </c>
      <c r="F86" s="128" t="str">
        <f>VLOOKUP($B86,Descriptive!$B$3:$K$94,5,0)</f>
        <v>NA</v>
      </c>
      <c r="G86" s="129">
        <v>1997</v>
      </c>
    </row>
    <row r="87" spans="1:7" ht="12.75">
      <c r="A87" s="124" t="s">
        <v>559</v>
      </c>
      <c r="B87" s="125" t="s">
        <v>200</v>
      </c>
      <c r="C87" s="128">
        <f>VLOOKUP($B87,Descriptive!$B$3:$K$94,2,0)</f>
        <v>5.9</v>
      </c>
      <c r="D87" s="128" t="str">
        <f>VLOOKUP($B87,Descriptive!$B$3:$K$94,3,0)</f>
        <v>NA</v>
      </c>
      <c r="E87" s="128" t="str">
        <f>VLOOKUP($B87,Descriptive!$B$3:$K$94,4,0)</f>
        <v>NA</v>
      </c>
      <c r="F87" s="128" t="str">
        <f>VLOOKUP($B87,Descriptive!$B$3:$K$94,5,0)</f>
        <v>NA</v>
      </c>
      <c r="G87" s="129">
        <f>VLOOKUP($B87,Descriptive!$B$3:$K$94,6,0)</f>
        <v>1996</v>
      </c>
    </row>
    <row r="88" spans="1:7" ht="12.75">
      <c r="A88" s="124" t="s">
        <v>559</v>
      </c>
      <c r="B88" s="125" t="s">
        <v>228</v>
      </c>
      <c r="C88" s="128">
        <f>VLOOKUP($B88,Descriptive!$B$3:$K$94,2,0)</f>
        <v>1.4</v>
      </c>
      <c r="D88" s="128" t="str">
        <f>VLOOKUP($B88,Descriptive!$B$3:$K$94,3,0)</f>
        <v>NA</v>
      </c>
      <c r="E88" s="128" t="str">
        <f>VLOOKUP($B88,Descriptive!$B$3:$K$94,4,0)</f>
        <v>NA</v>
      </c>
      <c r="F88" s="128" t="str">
        <f>VLOOKUP($B88,Descriptive!$B$3:$K$94,5,0)</f>
        <v>NA</v>
      </c>
      <c r="G88" s="129">
        <f>VLOOKUP($B88,Descriptive!$B$3:$K$94,6,0)</f>
        <v>1999</v>
      </c>
    </row>
    <row r="89" spans="1:7" ht="12.75">
      <c r="A89" s="124" t="s">
        <v>559</v>
      </c>
      <c r="B89" s="125" t="s">
        <v>585</v>
      </c>
      <c r="C89" s="128">
        <f>VLOOKUP($B89,Descriptive!$B$3:$K$94,2,0)</f>
        <v>0.6</v>
      </c>
      <c r="D89" s="128" t="str">
        <f>VLOOKUP($B89,Descriptive!$B$3:$K$94,3,0)</f>
        <v>NA</v>
      </c>
      <c r="E89" s="128" t="str">
        <f>VLOOKUP($B89,Descriptive!$B$3:$K$94,4,0)</f>
        <v>NA</v>
      </c>
      <c r="F89" s="128" t="str">
        <f>VLOOKUP($B89,Descriptive!$B$3:$K$94,5,0)</f>
        <v>NA</v>
      </c>
      <c r="G89" s="129">
        <f>VLOOKUP($B89,Descriptive!$B$3:$K$94,6,0)</f>
        <v>1999</v>
      </c>
    </row>
    <row r="90" spans="1:7" ht="12.75">
      <c r="A90" s="124" t="s">
        <v>559</v>
      </c>
      <c r="B90" s="125" t="s">
        <v>231</v>
      </c>
      <c r="C90" s="128" t="str">
        <f>VLOOKUP($B90,Descriptive!$B$3:$K$94,2,0)</f>
        <v>NA</v>
      </c>
      <c r="D90" s="128" t="str">
        <f>VLOOKUP($B90,Descriptive!$B$3:$K$94,3,0)</f>
        <v>NA</v>
      </c>
      <c r="E90" s="128">
        <f>VLOOKUP($B90,Descriptive!$B$3:$K$94,4,0)</f>
        <v>0.6</v>
      </c>
      <c r="F90" s="128" t="str">
        <f>VLOOKUP($B90,Descriptive!$B$3:$K$94,5,0)</f>
        <v>NA</v>
      </c>
      <c r="G90" s="129">
        <f>VLOOKUP($B90,Descriptive!$B$3:$K$94,6,0)</f>
        <v>2001</v>
      </c>
    </row>
    <row r="91" spans="1:7" ht="12.75">
      <c r="A91" s="132" t="s">
        <v>559</v>
      </c>
      <c r="B91" s="134" t="s">
        <v>195</v>
      </c>
      <c r="C91" s="135" t="str">
        <f>VLOOKUP($B91,Descriptive!$B$3:$K$94,2,0)</f>
        <v>NA</v>
      </c>
      <c r="D91" s="135" t="str">
        <f>VLOOKUP($B91,Descriptive!$B$3:$K$94,3,0)</f>
        <v>NA</v>
      </c>
      <c r="E91" s="135">
        <f>VLOOKUP($B91,Descriptive!$B$3:$K$94,4,0)</f>
        <v>5.7</v>
      </c>
      <c r="F91" s="135" t="str">
        <f>VLOOKUP($B91,Descriptive!$B$3:$K$94,5,0)</f>
        <v>NA</v>
      </c>
      <c r="G91" s="136">
        <v>2001</v>
      </c>
    </row>
  </sheetData>
  <sheetProtection/>
  <mergeCells count="1">
    <mergeCell ref="B1:G1"/>
  </mergeCells>
  <printOptions/>
  <pageMargins left="0.7086614173228347" right="0.7086614173228347" top="0.7480314960629921" bottom="0.7480314960629921" header="0.31496062992125984" footer="0.31496062992125984"/>
  <pageSetup horizontalDpi="600" verticalDpi="600" orientation="portrait" paperSize="9" scale="90" r:id="rId3"/>
  <legacyDrawing r:id="rId2"/>
</worksheet>
</file>

<file path=xl/worksheets/sheet3.xml><?xml version="1.0" encoding="utf-8"?>
<worksheet xmlns="http://schemas.openxmlformats.org/spreadsheetml/2006/main" xmlns:r="http://schemas.openxmlformats.org/officeDocument/2006/relationships">
  <sheetPr>
    <tabColor indexed="41"/>
  </sheetPr>
  <dimension ref="A1:N95"/>
  <sheetViews>
    <sheetView zoomScale="75" zoomScaleNormal="75" zoomScalePageLayoutView="0" workbookViewId="0" topLeftCell="A1">
      <pane xSplit="2" ySplit="1" topLeftCell="C83" activePane="bottomRight" state="frozen"/>
      <selection pane="topLeft" activeCell="F63" sqref="F63"/>
      <selection pane="topRight" activeCell="F63" sqref="F63"/>
      <selection pane="bottomLeft" activeCell="F63" sqref="F63"/>
      <selection pane="bottomRight" activeCell="B85" sqref="B85"/>
    </sheetView>
  </sheetViews>
  <sheetFormatPr defaultColWidth="9.140625" defaultRowHeight="12.75" outlineLevelCol="1"/>
  <cols>
    <col min="1" max="1" width="9.140625" style="0" hidden="1" customWidth="1" outlineLevel="1"/>
    <col min="2" max="2" width="19.8515625" style="0" customWidth="1" collapsed="1"/>
    <col min="3" max="6" width="13.7109375" style="0" bestFit="1" customWidth="1"/>
    <col min="7" max="7" width="8.8515625" style="0" customWidth="1"/>
    <col min="8" max="8" width="31.8515625" style="16" customWidth="1"/>
    <col min="9" max="9" width="34.57421875" style="16" customWidth="1"/>
    <col min="10" max="10" width="30.00390625" style="16" customWidth="1"/>
    <col min="11" max="11" width="35.28125" style="0" customWidth="1"/>
    <col min="12" max="12" width="9.140625" style="37" customWidth="1"/>
    <col min="13" max="16384" width="9.140625" style="44" customWidth="1"/>
  </cols>
  <sheetData>
    <row r="1" spans="1:11" ht="63.75">
      <c r="A1" t="s">
        <v>368</v>
      </c>
      <c r="B1" s="1" t="s">
        <v>258</v>
      </c>
      <c r="C1" s="2" t="s">
        <v>183</v>
      </c>
      <c r="D1" s="2" t="s">
        <v>184</v>
      </c>
      <c r="E1" s="2" t="s">
        <v>185</v>
      </c>
      <c r="F1" s="2" t="s">
        <v>545</v>
      </c>
      <c r="G1" s="2" t="s">
        <v>186</v>
      </c>
      <c r="H1" s="23" t="s">
        <v>557</v>
      </c>
      <c r="I1" s="23" t="s">
        <v>558</v>
      </c>
      <c r="J1" s="23" t="s">
        <v>259</v>
      </c>
      <c r="K1" s="71" t="s">
        <v>546</v>
      </c>
    </row>
    <row r="2" spans="1:12" ht="15.75" customHeight="1">
      <c r="A2" s="25" t="s">
        <v>369</v>
      </c>
      <c r="B2" s="26" t="s">
        <v>570</v>
      </c>
      <c r="C2" s="31"/>
      <c r="D2" s="31"/>
      <c r="E2" s="31"/>
      <c r="F2" s="31"/>
      <c r="G2" s="31"/>
      <c r="H2" s="32"/>
      <c r="I2" s="32"/>
      <c r="J2" s="32"/>
      <c r="K2" s="72"/>
      <c r="L2" s="44"/>
    </row>
    <row r="3" spans="1:12" ht="51">
      <c r="A3" s="25"/>
      <c r="B3" s="3" t="s">
        <v>133</v>
      </c>
      <c r="C3" s="4">
        <v>0.9</v>
      </c>
      <c r="D3" s="4" t="s">
        <v>193</v>
      </c>
      <c r="E3" s="4" t="s">
        <v>193</v>
      </c>
      <c r="F3" s="4" t="s">
        <v>193</v>
      </c>
      <c r="G3" s="11">
        <v>2003</v>
      </c>
      <c r="H3" s="22" t="s">
        <v>88</v>
      </c>
      <c r="I3" s="22" t="s">
        <v>193</v>
      </c>
      <c r="J3" s="36" t="s">
        <v>134</v>
      </c>
      <c r="K3" s="76" t="s">
        <v>135</v>
      </c>
      <c r="L3" s="44"/>
    </row>
    <row r="4" spans="1:12" ht="51">
      <c r="A4" s="25"/>
      <c r="B4" s="3" t="s">
        <v>373</v>
      </c>
      <c r="C4" s="4" t="s">
        <v>193</v>
      </c>
      <c r="D4" s="4" t="s">
        <v>193</v>
      </c>
      <c r="E4" s="4">
        <v>2.7</v>
      </c>
      <c r="F4" s="4" t="s">
        <v>193</v>
      </c>
      <c r="G4" s="11">
        <v>1996</v>
      </c>
      <c r="H4" s="79" t="s">
        <v>402</v>
      </c>
      <c r="I4" s="80"/>
      <c r="J4" s="81" t="s">
        <v>401</v>
      </c>
      <c r="K4" s="76" t="s">
        <v>400</v>
      </c>
      <c r="L4" s="44"/>
    </row>
    <row r="5" spans="1:12" ht="51">
      <c r="A5" s="25"/>
      <c r="B5" s="3" t="s">
        <v>136</v>
      </c>
      <c r="C5" s="4">
        <v>0.1</v>
      </c>
      <c r="D5" s="4" t="s">
        <v>193</v>
      </c>
      <c r="E5" s="4" t="s">
        <v>193</v>
      </c>
      <c r="F5" s="4" t="s">
        <v>193</v>
      </c>
      <c r="G5" s="11">
        <v>2002</v>
      </c>
      <c r="H5" s="22" t="s">
        <v>137</v>
      </c>
      <c r="I5" s="22" t="s">
        <v>193</v>
      </c>
      <c r="J5" s="81" t="s">
        <v>167</v>
      </c>
      <c r="K5" s="95" t="s">
        <v>168</v>
      </c>
      <c r="L5" s="44"/>
    </row>
    <row r="6" spans="1:12" ht="63.75">
      <c r="A6" s="25"/>
      <c r="B6" s="3" t="s">
        <v>274</v>
      </c>
      <c r="C6" s="9" t="s">
        <v>193</v>
      </c>
      <c r="D6" s="4">
        <v>4.5</v>
      </c>
      <c r="E6" s="9" t="s">
        <v>193</v>
      </c>
      <c r="F6" s="9" t="s">
        <v>193</v>
      </c>
      <c r="G6" s="7" t="s">
        <v>40</v>
      </c>
      <c r="H6" s="22" t="s">
        <v>193</v>
      </c>
      <c r="I6" s="36" t="s">
        <v>21</v>
      </c>
      <c r="J6" s="35" t="s">
        <v>41</v>
      </c>
      <c r="K6" s="76" t="s">
        <v>293</v>
      </c>
      <c r="L6" s="44"/>
    </row>
    <row r="7" spans="1:11" ht="51">
      <c r="A7" t="s">
        <v>564</v>
      </c>
      <c r="B7" s="3" t="s">
        <v>194</v>
      </c>
      <c r="C7" s="4">
        <v>1.2</v>
      </c>
      <c r="D7" s="5">
        <v>0.9</v>
      </c>
      <c r="E7" s="4">
        <v>2.1</v>
      </c>
      <c r="F7" s="9">
        <v>42.857142857142854</v>
      </c>
      <c r="G7" s="11">
        <v>2002</v>
      </c>
      <c r="H7" s="33" t="s">
        <v>88</v>
      </c>
      <c r="I7" s="22" t="s">
        <v>350</v>
      </c>
      <c r="J7" s="22" t="s">
        <v>345</v>
      </c>
      <c r="K7" s="17" t="s">
        <v>111</v>
      </c>
    </row>
    <row r="8" spans="1:11" ht="51">
      <c r="A8" t="s">
        <v>564</v>
      </c>
      <c r="B8" s="48" t="s">
        <v>192</v>
      </c>
      <c r="C8" s="49">
        <v>1.66</v>
      </c>
      <c r="D8" s="50">
        <v>4.4</v>
      </c>
      <c r="E8" s="49">
        <v>6.1</v>
      </c>
      <c r="F8" s="51">
        <f>D8/E8*100</f>
        <v>72.13114754098362</v>
      </c>
      <c r="G8" s="52" t="s">
        <v>372</v>
      </c>
      <c r="H8" s="53" t="s">
        <v>346</v>
      </c>
      <c r="I8" s="53" t="s">
        <v>347</v>
      </c>
      <c r="J8" s="53" t="s">
        <v>348</v>
      </c>
      <c r="K8" s="94" t="s">
        <v>294</v>
      </c>
    </row>
    <row r="9" spans="2:11" ht="38.25">
      <c r="B9" s="82" t="s">
        <v>179</v>
      </c>
      <c r="C9" s="49">
        <v>4.2</v>
      </c>
      <c r="D9" s="50">
        <f>E9-C9</f>
        <v>5.3</v>
      </c>
      <c r="E9" s="49">
        <f>0.6+7.2+1.7</f>
        <v>9.5</v>
      </c>
      <c r="F9" s="51">
        <f>D9/E9*100</f>
        <v>55.78947368421052</v>
      </c>
      <c r="G9" s="7" t="s">
        <v>40</v>
      </c>
      <c r="H9" s="53" t="s">
        <v>16</v>
      </c>
      <c r="I9" s="53" t="s">
        <v>15</v>
      </c>
      <c r="J9" s="53" t="s">
        <v>39</v>
      </c>
      <c r="K9" s="94" t="s">
        <v>38</v>
      </c>
    </row>
    <row r="10" spans="1:12" ht="51">
      <c r="A10" s="59"/>
      <c r="B10" s="17" t="s">
        <v>138</v>
      </c>
      <c r="C10" s="4">
        <v>0.85</v>
      </c>
      <c r="D10" s="5">
        <v>0.15</v>
      </c>
      <c r="E10" s="4">
        <f>C10+D10</f>
        <v>1</v>
      </c>
      <c r="F10" s="9">
        <f>D10/E10*100</f>
        <v>15</v>
      </c>
      <c r="G10" s="6">
        <v>2004</v>
      </c>
      <c r="H10" s="22" t="s">
        <v>139</v>
      </c>
      <c r="I10" s="22" t="s">
        <v>142</v>
      </c>
      <c r="J10" s="22" t="s">
        <v>141</v>
      </c>
      <c r="K10" s="76" t="s">
        <v>140</v>
      </c>
      <c r="L10" s="78"/>
    </row>
    <row r="11" spans="1:11" s="84" customFormat="1" ht="127.5">
      <c r="A11" s="91"/>
      <c r="B11" s="60" t="s">
        <v>177</v>
      </c>
      <c r="C11" s="4" t="s">
        <v>193</v>
      </c>
      <c r="D11" s="5">
        <v>3.2</v>
      </c>
      <c r="E11" s="4" t="s">
        <v>193</v>
      </c>
      <c r="F11" s="9" t="s">
        <v>193</v>
      </c>
      <c r="G11" s="7" t="s">
        <v>178</v>
      </c>
      <c r="H11" s="22" t="s">
        <v>193</v>
      </c>
      <c r="I11" s="22" t="s">
        <v>23</v>
      </c>
      <c r="J11" s="22" t="s">
        <v>24</v>
      </c>
      <c r="K11" s="17" t="s">
        <v>111</v>
      </c>
    </row>
    <row r="12" spans="1:12" ht="15" customHeight="1">
      <c r="A12" s="25"/>
      <c r="B12" s="54" t="s">
        <v>575</v>
      </c>
      <c r="C12" s="55"/>
      <c r="D12" s="56"/>
      <c r="E12" s="55"/>
      <c r="F12" s="56"/>
      <c r="G12" s="57"/>
      <c r="H12" s="58"/>
      <c r="I12" s="58"/>
      <c r="J12" s="58"/>
      <c r="K12" s="74"/>
      <c r="L12" s="44"/>
    </row>
    <row r="13" spans="1:11" ht="114.75">
      <c r="A13" t="s">
        <v>563</v>
      </c>
      <c r="B13" s="14" t="s">
        <v>226</v>
      </c>
      <c r="C13" s="9" t="s">
        <v>193</v>
      </c>
      <c r="D13" s="8" t="s">
        <v>193</v>
      </c>
      <c r="E13" s="15">
        <v>0.7</v>
      </c>
      <c r="F13" s="9" t="s">
        <v>193</v>
      </c>
      <c r="G13" s="11">
        <v>2002</v>
      </c>
      <c r="H13" s="122" t="s">
        <v>22</v>
      </c>
      <c r="I13" s="123"/>
      <c r="J13" s="22" t="s">
        <v>273</v>
      </c>
      <c r="K13" s="76" t="s">
        <v>295</v>
      </c>
    </row>
    <row r="14" spans="2:11" ht="38.25">
      <c r="B14" s="14" t="s">
        <v>459</v>
      </c>
      <c r="C14" s="9">
        <f>E14-D14</f>
        <v>1.64</v>
      </c>
      <c r="D14" s="8">
        <v>0.43</v>
      </c>
      <c r="E14" s="15">
        <v>2.07</v>
      </c>
      <c r="F14" s="9">
        <f>D14/E14*100</f>
        <v>20.77294685990338</v>
      </c>
      <c r="G14" s="11">
        <v>2006</v>
      </c>
      <c r="H14" s="22" t="s">
        <v>377</v>
      </c>
      <c r="I14" s="33" t="s">
        <v>376</v>
      </c>
      <c r="J14" s="22" t="s">
        <v>20</v>
      </c>
      <c r="K14" s="73" t="s">
        <v>19</v>
      </c>
    </row>
    <row r="15" spans="1:11" ht="63.75">
      <c r="A15" t="s">
        <v>563</v>
      </c>
      <c r="B15" s="3" t="s">
        <v>227</v>
      </c>
      <c r="C15" s="9" t="s">
        <v>193</v>
      </c>
      <c r="D15" s="8">
        <v>1.3</v>
      </c>
      <c r="E15" s="8" t="s">
        <v>193</v>
      </c>
      <c r="F15" s="9" t="s">
        <v>193</v>
      </c>
      <c r="G15" s="11">
        <v>2006</v>
      </c>
      <c r="H15" s="22" t="s">
        <v>193</v>
      </c>
      <c r="I15" s="22" t="s">
        <v>25</v>
      </c>
      <c r="J15" s="22" t="s">
        <v>144</v>
      </c>
      <c r="K15" s="76" t="s">
        <v>143</v>
      </c>
    </row>
    <row r="16" spans="1:11" ht="76.5">
      <c r="A16" t="s">
        <v>563</v>
      </c>
      <c r="B16" s="3" t="s">
        <v>488</v>
      </c>
      <c r="C16" s="9" t="s">
        <v>193</v>
      </c>
      <c r="D16" s="8" t="s">
        <v>193</v>
      </c>
      <c r="E16" s="8">
        <v>1.9</v>
      </c>
      <c r="F16" s="9" t="s">
        <v>193</v>
      </c>
      <c r="G16" s="7" t="s">
        <v>14</v>
      </c>
      <c r="H16" s="22" t="s">
        <v>336</v>
      </c>
      <c r="I16" s="22" t="s">
        <v>337</v>
      </c>
      <c r="J16" s="22" t="s">
        <v>13</v>
      </c>
      <c r="K16" s="76" t="s">
        <v>12</v>
      </c>
    </row>
    <row r="17" spans="1:11" ht="76.5">
      <c r="A17" t="s">
        <v>563</v>
      </c>
      <c r="B17" s="3" t="s">
        <v>228</v>
      </c>
      <c r="C17" s="9">
        <v>1.4</v>
      </c>
      <c r="D17" s="8" t="s">
        <v>193</v>
      </c>
      <c r="E17" s="9" t="s">
        <v>193</v>
      </c>
      <c r="F17" s="9" t="s">
        <v>193</v>
      </c>
      <c r="G17" s="11">
        <v>1999</v>
      </c>
      <c r="H17" s="22" t="s">
        <v>269</v>
      </c>
      <c r="I17" s="22" t="s">
        <v>349</v>
      </c>
      <c r="J17" s="22" t="s">
        <v>550</v>
      </c>
      <c r="K17" s="76" t="s">
        <v>296</v>
      </c>
    </row>
    <row r="18" spans="1:11" ht="89.25">
      <c r="A18" t="s">
        <v>563</v>
      </c>
      <c r="B18" s="3" t="s">
        <v>229</v>
      </c>
      <c r="C18" s="9">
        <v>5.9495</v>
      </c>
      <c r="D18" s="8">
        <v>1.3505000000000003</v>
      </c>
      <c r="E18" s="8">
        <v>7.3</v>
      </c>
      <c r="F18" s="9">
        <v>18.5</v>
      </c>
      <c r="G18" s="11">
        <v>2000</v>
      </c>
      <c r="H18" s="22" t="s">
        <v>352</v>
      </c>
      <c r="I18" s="22" t="s">
        <v>353</v>
      </c>
      <c r="J18" s="22" t="s">
        <v>354</v>
      </c>
      <c r="K18" s="76" t="s">
        <v>297</v>
      </c>
    </row>
    <row r="19" spans="1:12" s="84" customFormat="1" ht="76.5">
      <c r="A19" t="s">
        <v>563</v>
      </c>
      <c r="B19" s="14" t="s">
        <v>230</v>
      </c>
      <c r="C19" s="9" t="s">
        <v>193</v>
      </c>
      <c r="D19" s="10">
        <v>0.22</v>
      </c>
      <c r="E19" s="9" t="s">
        <v>193</v>
      </c>
      <c r="F19" s="9" t="s">
        <v>193</v>
      </c>
      <c r="G19" s="11">
        <v>2005</v>
      </c>
      <c r="H19" s="22" t="s">
        <v>193</v>
      </c>
      <c r="I19" s="22" t="s">
        <v>399</v>
      </c>
      <c r="J19" s="22" t="s">
        <v>398</v>
      </c>
      <c r="K19" s="73" t="s">
        <v>111</v>
      </c>
      <c r="L19" s="83"/>
    </row>
    <row r="20" spans="1:11" ht="76.5">
      <c r="A20" t="s">
        <v>563</v>
      </c>
      <c r="B20" s="3" t="s">
        <v>231</v>
      </c>
      <c r="C20" s="9" t="s">
        <v>193</v>
      </c>
      <c r="D20" s="8" t="s">
        <v>193</v>
      </c>
      <c r="E20" s="8">
        <v>0.6</v>
      </c>
      <c r="F20" s="9" t="s">
        <v>193</v>
      </c>
      <c r="G20" s="11">
        <v>2001</v>
      </c>
      <c r="H20" s="22" t="s">
        <v>576</v>
      </c>
      <c r="I20" s="22" t="s">
        <v>577</v>
      </c>
      <c r="J20" s="22" t="s">
        <v>553</v>
      </c>
      <c r="K20" s="76" t="s">
        <v>299</v>
      </c>
    </row>
    <row r="21" spans="1:11" ht="76.5">
      <c r="A21" t="s">
        <v>563</v>
      </c>
      <c r="B21" s="3" t="s">
        <v>583</v>
      </c>
      <c r="C21" s="9">
        <v>1.5</v>
      </c>
      <c r="D21" s="8">
        <v>1.1</v>
      </c>
      <c r="E21" s="8">
        <v>2.6</v>
      </c>
      <c r="F21" s="9">
        <v>42.30769230769231</v>
      </c>
      <c r="G21" s="11">
        <v>1998</v>
      </c>
      <c r="H21" s="22" t="s">
        <v>5</v>
      </c>
      <c r="I21" s="22" t="s">
        <v>6</v>
      </c>
      <c r="J21" s="22" t="s">
        <v>555</v>
      </c>
      <c r="K21" s="76" t="s">
        <v>298</v>
      </c>
    </row>
    <row r="22" spans="1:12" ht="12.75">
      <c r="A22" s="25"/>
      <c r="B22" s="26" t="s">
        <v>566</v>
      </c>
      <c r="C22" s="28"/>
      <c r="D22" s="27"/>
      <c r="E22" s="27"/>
      <c r="F22" s="28"/>
      <c r="G22" s="29"/>
      <c r="H22" s="30"/>
      <c r="I22" s="30"/>
      <c r="J22" s="30"/>
      <c r="K22" s="75"/>
      <c r="L22" s="44"/>
    </row>
    <row r="23" spans="1:11" ht="63.75">
      <c r="A23" t="s">
        <v>560</v>
      </c>
      <c r="B23" s="14" t="s">
        <v>203</v>
      </c>
      <c r="C23" s="9">
        <v>5.5</v>
      </c>
      <c r="D23" s="8">
        <v>1.2</v>
      </c>
      <c r="E23" s="8">
        <f>C23+D23</f>
        <v>6.7</v>
      </c>
      <c r="F23" s="9">
        <f>D23/E23*100</f>
        <v>17.91044776119403</v>
      </c>
      <c r="G23" s="11">
        <v>2005</v>
      </c>
      <c r="H23" s="22" t="s">
        <v>71</v>
      </c>
      <c r="I23" s="22" t="s">
        <v>72</v>
      </c>
      <c r="J23" s="22" t="s">
        <v>74</v>
      </c>
      <c r="K23" s="76" t="s">
        <v>73</v>
      </c>
    </row>
    <row r="24" spans="1:11" ht="102">
      <c r="A24" t="s">
        <v>560</v>
      </c>
      <c r="B24" s="12" t="s">
        <v>204</v>
      </c>
      <c r="C24" s="9">
        <v>3</v>
      </c>
      <c r="D24" s="9">
        <v>2.1</v>
      </c>
      <c r="E24" s="9">
        <v>5.11</v>
      </c>
      <c r="F24" s="9">
        <v>41.0958904109589</v>
      </c>
      <c r="G24" s="11">
        <v>2002</v>
      </c>
      <c r="H24" s="22" t="s">
        <v>262</v>
      </c>
      <c r="I24" s="22" t="s">
        <v>263</v>
      </c>
      <c r="J24" s="22" t="s">
        <v>264</v>
      </c>
      <c r="K24" s="76" t="s">
        <v>300</v>
      </c>
    </row>
    <row r="25" spans="1:11" ht="114.75">
      <c r="A25" t="s">
        <v>560</v>
      </c>
      <c r="B25" s="12" t="s">
        <v>205</v>
      </c>
      <c r="C25" s="9">
        <v>3.7</v>
      </c>
      <c r="D25" s="9">
        <v>1.6</v>
      </c>
      <c r="E25" s="9">
        <v>5.3</v>
      </c>
      <c r="F25" s="9">
        <v>30.188679245283023</v>
      </c>
      <c r="G25" s="11">
        <v>2001</v>
      </c>
      <c r="H25" s="22" t="s">
        <v>292</v>
      </c>
      <c r="I25" s="22" t="s">
        <v>265</v>
      </c>
      <c r="J25" s="22" t="s">
        <v>266</v>
      </c>
      <c r="K25" s="76" t="s">
        <v>267</v>
      </c>
    </row>
    <row r="26" spans="1:11" ht="51">
      <c r="A26" t="s">
        <v>560</v>
      </c>
      <c r="B26" s="12" t="s">
        <v>206</v>
      </c>
      <c r="C26" s="9" t="s">
        <v>193</v>
      </c>
      <c r="D26" s="8" t="s">
        <v>193</v>
      </c>
      <c r="E26" s="9">
        <v>14.4</v>
      </c>
      <c r="F26" s="9" t="s">
        <v>193</v>
      </c>
      <c r="G26" s="11">
        <v>2001</v>
      </c>
      <c r="H26" s="22" t="s">
        <v>269</v>
      </c>
      <c r="I26" s="22" t="s">
        <v>270</v>
      </c>
      <c r="J26" s="22" t="s">
        <v>271</v>
      </c>
      <c r="K26" s="76" t="s">
        <v>301</v>
      </c>
    </row>
    <row r="27" spans="1:11" ht="76.5">
      <c r="A27" t="s">
        <v>560</v>
      </c>
      <c r="B27" s="14" t="s">
        <v>207</v>
      </c>
      <c r="C27" s="5">
        <v>8.9</v>
      </c>
      <c r="D27" s="4">
        <f>E27-C27</f>
        <v>6.9</v>
      </c>
      <c r="E27" s="5">
        <v>15.8</v>
      </c>
      <c r="F27" s="5">
        <f>D27/E27*100</f>
        <v>43.67088607594937</v>
      </c>
      <c r="G27" s="6">
        <v>2000</v>
      </c>
      <c r="H27" s="33" t="s">
        <v>269</v>
      </c>
      <c r="I27" s="33" t="s">
        <v>291</v>
      </c>
      <c r="J27" s="33" t="s">
        <v>272</v>
      </c>
      <c r="K27" s="95" t="s">
        <v>302</v>
      </c>
    </row>
    <row r="28" spans="1:11" ht="38.25">
      <c r="A28" s="34"/>
      <c r="B28" s="14" t="s">
        <v>208</v>
      </c>
      <c r="C28" s="5">
        <f>E28-D28</f>
        <v>9.5</v>
      </c>
      <c r="D28" s="4">
        <v>1.2</v>
      </c>
      <c r="E28" s="5">
        <v>10.7</v>
      </c>
      <c r="F28" s="5">
        <f>D28/E28*100</f>
        <v>11.214953271028037</v>
      </c>
      <c r="G28" s="6">
        <v>2004</v>
      </c>
      <c r="H28" s="33" t="s">
        <v>154</v>
      </c>
      <c r="I28" s="33" t="s">
        <v>153</v>
      </c>
      <c r="J28" s="33" t="s">
        <v>152</v>
      </c>
      <c r="K28" s="77" t="s">
        <v>111</v>
      </c>
    </row>
    <row r="29" spans="1:11" ht="76.5">
      <c r="A29" t="s">
        <v>560</v>
      </c>
      <c r="B29" s="14" t="s">
        <v>209</v>
      </c>
      <c r="C29" s="5">
        <v>12.4</v>
      </c>
      <c r="D29" s="4">
        <v>1.8</v>
      </c>
      <c r="E29" s="5">
        <v>14.2</v>
      </c>
      <c r="F29" s="5">
        <v>12.676056338028168</v>
      </c>
      <c r="G29" s="6">
        <v>2000</v>
      </c>
      <c r="H29" s="33" t="s">
        <v>323</v>
      </c>
      <c r="I29" s="33" t="s">
        <v>324</v>
      </c>
      <c r="J29" s="33" t="s">
        <v>325</v>
      </c>
      <c r="K29" s="95" t="s">
        <v>303</v>
      </c>
    </row>
    <row r="30" spans="1:11" ht="114.75">
      <c r="A30" t="s">
        <v>560</v>
      </c>
      <c r="B30" s="3" t="s">
        <v>589</v>
      </c>
      <c r="C30" s="9">
        <v>11.4</v>
      </c>
      <c r="D30" s="8">
        <v>2.4</v>
      </c>
      <c r="E30" s="9">
        <v>13.8</v>
      </c>
      <c r="F30" s="9">
        <v>17.391304347826086</v>
      </c>
      <c r="G30" s="11">
        <v>2000</v>
      </c>
      <c r="H30" s="22" t="s">
        <v>326</v>
      </c>
      <c r="I30" s="22" t="s">
        <v>11</v>
      </c>
      <c r="J30" s="22" t="s">
        <v>549</v>
      </c>
      <c r="K30" s="76" t="s">
        <v>304</v>
      </c>
    </row>
    <row r="31" spans="1:11" ht="51">
      <c r="A31" t="s">
        <v>560</v>
      </c>
      <c r="B31" s="3" t="s">
        <v>211</v>
      </c>
      <c r="C31" s="9">
        <v>2.7</v>
      </c>
      <c r="D31" s="8">
        <v>1.5</v>
      </c>
      <c r="E31" s="8">
        <v>4.2</v>
      </c>
      <c r="F31" s="9">
        <v>35.714285714285715</v>
      </c>
      <c r="G31" s="11">
        <v>2000</v>
      </c>
      <c r="H31" s="22" t="s">
        <v>330</v>
      </c>
      <c r="I31" s="22" t="s">
        <v>331</v>
      </c>
      <c r="J31" s="22" t="s">
        <v>332</v>
      </c>
      <c r="K31" s="76" t="s">
        <v>305</v>
      </c>
    </row>
    <row r="32" spans="1:11" ht="25.5">
      <c r="A32" t="s">
        <v>560</v>
      </c>
      <c r="B32" s="13" t="s">
        <v>213</v>
      </c>
      <c r="C32" s="8">
        <v>3.2</v>
      </c>
      <c r="D32" s="9">
        <f>E32-C32</f>
        <v>2.2</v>
      </c>
      <c r="E32" s="8">
        <v>5.4</v>
      </c>
      <c r="F32" s="9">
        <f>D32/E32*100</f>
        <v>40.74074074074075</v>
      </c>
      <c r="G32" s="11">
        <v>2002</v>
      </c>
      <c r="H32" s="22" t="s">
        <v>156</v>
      </c>
      <c r="I32" s="22" t="s">
        <v>155</v>
      </c>
      <c r="J32" s="22" t="s">
        <v>158</v>
      </c>
      <c r="K32" s="76" t="s">
        <v>157</v>
      </c>
    </row>
    <row r="33" spans="1:12" s="84" customFormat="1" ht="51">
      <c r="A33" s="86" t="s">
        <v>560</v>
      </c>
      <c r="B33" s="41" t="s">
        <v>214</v>
      </c>
      <c r="C33" s="5">
        <v>3.3</v>
      </c>
      <c r="D33" s="4">
        <v>2.5</v>
      </c>
      <c r="E33" s="5">
        <v>5.8</v>
      </c>
      <c r="F33" s="5">
        <f>D33/E33*100</f>
        <v>43.10344827586207</v>
      </c>
      <c r="G33" s="6">
        <v>2003</v>
      </c>
      <c r="H33" s="33" t="s">
        <v>269</v>
      </c>
      <c r="I33" s="33" t="s">
        <v>159</v>
      </c>
      <c r="J33" s="40" t="s">
        <v>161</v>
      </c>
      <c r="K33" s="95" t="s">
        <v>160</v>
      </c>
      <c r="L33" s="83"/>
    </row>
    <row r="34" spans="1:11" ht="51">
      <c r="A34" t="s">
        <v>560</v>
      </c>
      <c r="B34" s="12" t="s">
        <v>588</v>
      </c>
      <c r="C34" s="8">
        <v>5.1</v>
      </c>
      <c r="D34" s="9">
        <v>0.7</v>
      </c>
      <c r="E34" s="8">
        <v>5.8</v>
      </c>
      <c r="F34" s="9">
        <v>12.068965517241379</v>
      </c>
      <c r="G34" s="11">
        <v>2001</v>
      </c>
      <c r="H34" s="22" t="s">
        <v>338</v>
      </c>
      <c r="I34" s="22" t="s">
        <v>42</v>
      </c>
      <c r="J34" s="22" t="s">
        <v>339</v>
      </c>
      <c r="K34" s="76" t="s">
        <v>306</v>
      </c>
    </row>
    <row r="35" spans="1:12" s="84" customFormat="1" ht="102">
      <c r="A35" s="86" t="s">
        <v>560</v>
      </c>
      <c r="B35" s="40" t="s">
        <v>216</v>
      </c>
      <c r="C35" s="5">
        <v>9.935</v>
      </c>
      <c r="D35" s="4">
        <v>1.345</v>
      </c>
      <c r="E35" s="5">
        <v>11.285</v>
      </c>
      <c r="F35" s="5">
        <f>D35/E35*100</f>
        <v>11.918475852902082</v>
      </c>
      <c r="G35" s="6">
        <v>2001</v>
      </c>
      <c r="H35" s="33" t="s">
        <v>340</v>
      </c>
      <c r="I35" s="33" t="s">
        <v>341</v>
      </c>
      <c r="J35" s="33" t="s">
        <v>176</v>
      </c>
      <c r="K35" s="95" t="s">
        <v>169</v>
      </c>
      <c r="L35" s="83"/>
    </row>
    <row r="36" spans="1:11" ht="51">
      <c r="A36" t="s">
        <v>560</v>
      </c>
      <c r="B36" s="12" t="s">
        <v>494</v>
      </c>
      <c r="C36" s="8">
        <v>10.6</v>
      </c>
      <c r="D36" s="9">
        <v>1.4</v>
      </c>
      <c r="E36" s="8">
        <v>12</v>
      </c>
      <c r="F36" s="9">
        <v>11.666666666666666</v>
      </c>
      <c r="G36" s="11">
        <v>2000</v>
      </c>
      <c r="H36" s="22" t="s">
        <v>342</v>
      </c>
      <c r="I36" s="22" t="s">
        <v>343</v>
      </c>
      <c r="J36" s="22" t="s">
        <v>344</v>
      </c>
      <c r="K36" s="76" t="s">
        <v>307</v>
      </c>
    </row>
    <row r="37" spans="1:11" ht="102">
      <c r="A37" t="s">
        <v>560</v>
      </c>
      <c r="B37" s="3" t="s">
        <v>590</v>
      </c>
      <c r="C37" s="9">
        <f>8.66*0.87</f>
        <v>7.5342</v>
      </c>
      <c r="D37" s="8">
        <v>1.7</v>
      </c>
      <c r="E37" s="8">
        <f>C37+D37</f>
        <v>9.2342</v>
      </c>
      <c r="F37" s="9">
        <f>D37/E37*100</f>
        <v>18.4098243486171</v>
      </c>
      <c r="G37" s="11">
        <v>2005</v>
      </c>
      <c r="H37" s="22" t="s">
        <v>59</v>
      </c>
      <c r="I37" s="22" t="s">
        <v>58</v>
      </c>
      <c r="J37" s="22" t="s">
        <v>57</v>
      </c>
      <c r="K37" s="76" t="s">
        <v>56</v>
      </c>
    </row>
    <row r="38" spans="1:12" s="84" customFormat="1" ht="51">
      <c r="A38" s="86" t="s">
        <v>560</v>
      </c>
      <c r="B38" s="14" t="s">
        <v>218</v>
      </c>
      <c r="C38" s="5">
        <f>E38-D38</f>
        <v>16.34</v>
      </c>
      <c r="D38" s="4">
        <v>1.06</v>
      </c>
      <c r="E38" s="4">
        <v>17.4</v>
      </c>
      <c r="F38" s="5">
        <f>D38/E38*100</f>
        <v>6.0919540229885065</v>
      </c>
      <c r="G38" s="6">
        <v>2000</v>
      </c>
      <c r="H38" s="33" t="s">
        <v>35</v>
      </c>
      <c r="I38" s="33" t="s">
        <v>25</v>
      </c>
      <c r="J38" s="33" t="s">
        <v>76</v>
      </c>
      <c r="K38" s="95" t="s">
        <v>75</v>
      </c>
      <c r="L38" s="83"/>
    </row>
    <row r="39" spans="1:11" ht="76.5">
      <c r="A39" t="s">
        <v>560</v>
      </c>
      <c r="B39" s="3" t="s">
        <v>219</v>
      </c>
      <c r="C39" s="9">
        <v>8.9</v>
      </c>
      <c r="D39" s="10">
        <v>1.1</v>
      </c>
      <c r="E39" s="9">
        <v>10</v>
      </c>
      <c r="F39" s="9">
        <v>11</v>
      </c>
      <c r="G39" s="11">
        <v>2002</v>
      </c>
      <c r="H39" s="22" t="s">
        <v>359</v>
      </c>
      <c r="I39" s="22" t="s">
        <v>360</v>
      </c>
      <c r="J39" s="22" t="s">
        <v>361</v>
      </c>
      <c r="K39" s="76" t="s">
        <v>308</v>
      </c>
    </row>
    <row r="40" spans="1:11" ht="102">
      <c r="A40" t="s">
        <v>560</v>
      </c>
      <c r="B40" s="14" t="s">
        <v>220</v>
      </c>
      <c r="C40" s="5">
        <v>7.2</v>
      </c>
      <c r="D40" s="4">
        <v>1.8</v>
      </c>
      <c r="E40" s="5">
        <v>9</v>
      </c>
      <c r="F40" s="5">
        <f>D40/E40*100</f>
        <v>20</v>
      </c>
      <c r="G40" s="6">
        <v>2006</v>
      </c>
      <c r="H40" s="33" t="s">
        <v>151</v>
      </c>
      <c r="I40" s="33" t="s">
        <v>150</v>
      </c>
      <c r="J40" s="33" t="s">
        <v>149</v>
      </c>
      <c r="K40" s="77" t="s">
        <v>111</v>
      </c>
    </row>
    <row r="41" spans="1:12" s="84" customFormat="1" ht="89.25">
      <c r="A41" s="85"/>
      <c r="B41" s="14" t="s">
        <v>276</v>
      </c>
      <c r="C41" s="5">
        <f>E41-D41</f>
        <v>12.6</v>
      </c>
      <c r="D41" s="4">
        <v>1.4</v>
      </c>
      <c r="E41" s="5">
        <v>14</v>
      </c>
      <c r="F41" s="5">
        <f>D41/E41*100</f>
        <v>10</v>
      </c>
      <c r="G41" s="6">
        <v>2005</v>
      </c>
      <c r="H41" s="33" t="s">
        <v>66</v>
      </c>
      <c r="I41" s="33" t="s">
        <v>65</v>
      </c>
      <c r="J41" s="33" t="s">
        <v>64</v>
      </c>
      <c r="K41" s="95" t="s">
        <v>67</v>
      </c>
      <c r="L41" s="83"/>
    </row>
    <row r="42" spans="2:11" ht="51">
      <c r="B42" s="14" t="s">
        <v>275</v>
      </c>
      <c r="C42" s="5">
        <v>16</v>
      </c>
      <c r="D42" s="4">
        <v>2</v>
      </c>
      <c r="E42" s="5">
        <v>18</v>
      </c>
      <c r="F42" s="5">
        <v>11.11111111111111</v>
      </c>
      <c r="G42" s="6">
        <v>2002</v>
      </c>
      <c r="H42" s="33" t="s">
        <v>269</v>
      </c>
      <c r="I42" s="33" t="s">
        <v>278</v>
      </c>
      <c r="J42" s="33" t="s">
        <v>277</v>
      </c>
      <c r="K42" s="95" t="s">
        <v>314</v>
      </c>
    </row>
    <row r="43" spans="1:11" ht="89.25">
      <c r="A43" t="s">
        <v>560</v>
      </c>
      <c r="B43" s="14" t="s">
        <v>581</v>
      </c>
      <c r="C43" s="5">
        <v>9.4</v>
      </c>
      <c r="D43" s="4">
        <v>3.7</v>
      </c>
      <c r="E43" s="4">
        <v>13.1</v>
      </c>
      <c r="F43" s="5">
        <v>28.24427480916031</v>
      </c>
      <c r="G43" s="6" t="s">
        <v>556</v>
      </c>
      <c r="H43" s="33" t="s">
        <v>362</v>
      </c>
      <c r="I43" s="33" t="s">
        <v>363</v>
      </c>
      <c r="J43" s="33" t="s">
        <v>364</v>
      </c>
      <c r="K43" s="95" t="s">
        <v>309</v>
      </c>
    </row>
    <row r="44" spans="1:11" ht="25.5">
      <c r="A44" s="34"/>
      <c r="B44" s="14" t="s">
        <v>222</v>
      </c>
      <c r="C44" s="5">
        <v>1.8</v>
      </c>
      <c r="D44" s="4">
        <v>0.2</v>
      </c>
      <c r="E44" s="5">
        <v>1.9</v>
      </c>
      <c r="F44" s="5">
        <f>D44/E44*100</f>
        <v>10.526315789473685</v>
      </c>
      <c r="G44" s="6">
        <v>1999</v>
      </c>
      <c r="H44" s="33" t="s">
        <v>367</v>
      </c>
      <c r="I44" s="33" t="s">
        <v>37</v>
      </c>
      <c r="J44" s="33" t="s">
        <v>78</v>
      </c>
      <c r="K44" s="95" t="s">
        <v>77</v>
      </c>
    </row>
    <row r="45" spans="1:12" s="84" customFormat="1" ht="25.5">
      <c r="A45" s="85" t="s">
        <v>560</v>
      </c>
      <c r="B45" s="14" t="s">
        <v>223</v>
      </c>
      <c r="C45" s="5">
        <v>7.2</v>
      </c>
      <c r="D45" s="4">
        <f>E45-C45</f>
        <v>2.1000000000000005</v>
      </c>
      <c r="E45" s="5">
        <v>9.3</v>
      </c>
      <c r="F45" s="5">
        <f>D45/E45*100</f>
        <v>22.580645161290327</v>
      </c>
      <c r="G45" s="6">
        <v>2004</v>
      </c>
      <c r="H45" s="33" t="s">
        <v>137</v>
      </c>
      <c r="I45" s="33" t="s">
        <v>164</v>
      </c>
      <c r="J45" s="33" t="s">
        <v>163</v>
      </c>
      <c r="K45" s="95" t="s">
        <v>162</v>
      </c>
      <c r="L45" s="83"/>
    </row>
    <row r="46" spans="1:11" ht="178.5">
      <c r="A46" t="s">
        <v>560</v>
      </c>
      <c r="B46" s="3" t="s">
        <v>224</v>
      </c>
      <c r="C46" s="9">
        <v>9.8</v>
      </c>
      <c r="D46" s="8">
        <v>3.2</v>
      </c>
      <c r="E46" s="8">
        <v>13</v>
      </c>
      <c r="F46" s="9">
        <v>24.615384615384617</v>
      </c>
      <c r="G46" s="11">
        <v>2000</v>
      </c>
      <c r="H46" s="22" t="s">
        <v>580</v>
      </c>
      <c r="I46" s="22" t="s">
        <v>182</v>
      </c>
      <c r="J46" s="22" t="s">
        <v>0</v>
      </c>
      <c r="K46" s="76" t="s">
        <v>310</v>
      </c>
    </row>
    <row r="47" spans="1:11" ht="76.5">
      <c r="A47" t="s">
        <v>560</v>
      </c>
      <c r="B47" s="3" t="s">
        <v>225</v>
      </c>
      <c r="C47" s="9">
        <v>7</v>
      </c>
      <c r="D47" s="8">
        <v>2</v>
      </c>
      <c r="E47" s="8">
        <v>9</v>
      </c>
      <c r="F47" s="9">
        <v>22.22222222222222</v>
      </c>
      <c r="G47" s="11">
        <v>2000</v>
      </c>
      <c r="H47" s="22" t="s">
        <v>358</v>
      </c>
      <c r="I47" s="22" t="s">
        <v>1</v>
      </c>
      <c r="J47" s="22" t="s">
        <v>2</v>
      </c>
      <c r="K47" s="76" t="s">
        <v>311</v>
      </c>
    </row>
    <row r="48" spans="1:12" ht="15" customHeight="1">
      <c r="A48" s="25"/>
      <c r="B48" s="26" t="s">
        <v>567</v>
      </c>
      <c r="C48" s="28"/>
      <c r="D48" s="27"/>
      <c r="E48" s="27"/>
      <c r="F48" s="28"/>
      <c r="G48" s="29"/>
      <c r="H48" s="30"/>
      <c r="I48" s="30"/>
      <c r="J48" s="30"/>
      <c r="K48" s="75"/>
      <c r="L48" s="44"/>
    </row>
    <row r="49" spans="1:11" ht="89.25">
      <c r="A49" s="34"/>
      <c r="B49" s="14" t="s">
        <v>237</v>
      </c>
      <c r="C49" s="5">
        <v>7.7</v>
      </c>
      <c r="D49" s="4">
        <v>1.5</v>
      </c>
      <c r="E49" s="4">
        <v>9.2</v>
      </c>
      <c r="F49" s="5">
        <f aca="true" t="shared" si="0" ref="F49:F58">D49/E49*100</f>
        <v>16.304347826086957</v>
      </c>
      <c r="G49" s="6">
        <v>2004</v>
      </c>
      <c r="H49" s="33" t="s">
        <v>285</v>
      </c>
      <c r="I49" s="33" t="s">
        <v>286</v>
      </c>
      <c r="J49" s="33" t="s">
        <v>28</v>
      </c>
      <c r="K49" s="95" t="s">
        <v>29</v>
      </c>
    </row>
    <row r="50" spans="1:11" ht="76.5">
      <c r="A50" t="s">
        <v>562</v>
      </c>
      <c r="B50" s="14" t="s">
        <v>238</v>
      </c>
      <c r="C50" s="5">
        <f>4.7+1.6</f>
        <v>6.300000000000001</v>
      </c>
      <c r="D50" s="4">
        <v>2</v>
      </c>
      <c r="E50" s="4">
        <f>C50+D50</f>
        <v>8.3</v>
      </c>
      <c r="F50" s="5">
        <f t="shared" si="0"/>
        <v>24.096385542168672</v>
      </c>
      <c r="G50" s="6">
        <v>2002</v>
      </c>
      <c r="H50" s="33" t="s">
        <v>79</v>
      </c>
      <c r="I50" s="33" t="s">
        <v>80</v>
      </c>
      <c r="J50" s="33" t="s">
        <v>351</v>
      </c>
      <c r="K50" s="95" t="s">
        <v>312</v>
      </c>
    </row>
    <row r="51" spans="1:11" ht="76.5">
      <c r="A51" s="34"/>
      <c r="B51" s="14" t="s">
        <v>239</v>
      </c>
      <c r="C51" s="5">
        <v>11.7</v>
      </c>
      <c r="D51" s="4">
        <v>1.4</v>
      </c>
      <c r="E51" s="4">
        <v>13.1</v>
      </c>
      <c r="F51" s="5">
        <f t="shared" si="0"/>
        <v>10.687022900763358</v>
      </c>
      <c r="G51" s="6">
        <v>2004</v>
      </c>
      <c r="H51" s="33" t="s">
        <v>287</v>
      </c>
      <c r="I51" s="33" t="s">
        <v>288</v>
      </c>
      <c r="J51" s="33" t="s">
        <v>28</v>
      </c>
      <c r="K51" s="95" t="s">
        <v>29</v>
      </c>
    </row>
    <row r="52" spans="1:12" ht="76.5">
      <c r="A52" s="34"/>
      <c r="B52" s="14" t="s">
        <v>240</v>
      </c>
      <c r="C52" s="5">
        <v>6.9</v>
      </c>
      <c r="D52" s="4">
        <v>0.7</v>
      </c>
      <c r="E52" s="5">
        <v>7.6</v>
      </c>
      <c r="F52" s="5">
        <f t="shared" si="0"/>
        <v>9.210526315789473</v>
      </c>
      <c r="G52" s="6">
        <v>2003</v>
      </c>
      <c r="H52" s="33" t="s">
        <v>17</v>
      </c>
      <c r="I52" s="33" t="s">
        <v>289</v>
      </c>
      <c r="J52" s="33" t="s">
        <v>28</v>
      </c>
      <c r="K52" s="95" t="s">
        <v>29</v>
      </c>
      <c r="L52" s="37" t="s">
        <v>281</v>
      </c>
    </row>
    <row r="53" spans="1:11" ht="127.5">
      <c r="A53" s="34"/>
      <c r="B53" s="14" t="s">
        <v>241</v>
      </c>
      <c r="C53" s="5">
        <v>5.9</v>
      </c>
      <c r="D53" s="4">
        <v>0.6</v>
      </c>
      <c r="E53" s="4">
        <v>6.5</v>
      </c>
      <c r="F53" s="5">
        <f t="shared" si="0"/>
        <v>9.23076923076923</v>
      </c>
      <c r="G53" s="6">
        <v>2004</v>
      </c>
      <c r="H53" s="33" t="s">
        <v>290</v>
      </c>
      <c r="I53" s="33" t="s">
        <v>315</v>
      </c>
      <c r="J53" s="33" t="s">
        <v>28</v>
      </c>
      <c r="K53" s="95" t="s">
        <v>29</v>
      </c>
    </row>
    <row r="54" spans="1:12" s="84" customFormat="1" ht="51">
      <c r="A54" s="86" t="s">
        <v>562</v>
      </c>
      <c r="B54" s="14" t="s">
        <v>242</v>
      </c>
      <c r="C54" s="5">
        <v>4.3</v>
      </c>
      <c r="D54" s="4">
        <v>1.5</v>
      </c>
      <c r="E54" s="4">
        <v>5.8</v>
      </c>
      <c r="F54" s="5">
        <f t="shared" si="0"/>
        <v>25.862068965517242</v>
      </c>
      <c r="G54" s="6">
        <v>2004</v>
      </c>
      <c r="H54" s="33" t="s">
        <v>118</v>
      </c>
      <c r="I54" s="33" t="s">
        <v>120</v>
      </c>
      <c r="J54" s="33" t="s">
        <v>119</v>
      </c>
      <c r="K54" s="77" t="s">
        <v>111</v>
      </c>
      <c r="L54" s="83"/>
    </row>
    <row r="55" spans="1:12" s="84" customFormat="1" ht="63.75">
      <c r="A55" s="85" t="s">
        <v>562</v>
      </c>
      <c r="B55" s="14" t="s">
        <v>243</v>
      </c>
      <c r="C55" s="5">
        <v>3.41</v>
      </c>
      <c r="D55" s="4">
        <v>2.15</v>
      </c>
      <c r="E55" s="4">
        <v>5.56</v>
      </c>
      <c r="F55" s="5">
        <f t="shared" si="0"/>
        <v>38.66906474820144</v>
      </c>
      <c r="G55" s="6" t="s">
        <v>370</v>
      </c>
      <c r="H55" s="33" t="s">
        <v>327</v>
      </c>
      <c r="I55" s="33" t="s">
        <v>328</v>
      </c>
      <c r="J55" s="33" t="s">
        <v>31</v>
      </c>
      <c r="K55" s="95" t="s">
        <v>30</v>
      </c>
      <c r="L55" s="83"/>
    </row>
    <row r="56" spans="1:12" ht="89.25">
      <c r="A56" s="34"/>
      <c r="B56" s="14" t="s">
        <v>587</v>
      </c>
      <c r="C56" s="5">
        <v>0.7</v>
      </c>
      <c r="D56" s="4">
        <v>1.7</v>
      </c>
      <c r="E56" s="4">
        <v>2.4</v>
      </c>
      <c r="F56" s="5">
        <f t="shared" si="0"/>
        <v>70.83333333333334</v>
      </c>
      <c r="G56" s="6">
        <v>2004</v>
      </c>
      <c r="H56" s="33" t="s">
        <v>316</v>
      </c>
      <c r="I56" s="33" t="s">
        <v>317</v>
      </c>
      <c r="J56" s="33" t="s">
        <v>28</v>
      </c>
      <c r="K56" s="95" t="s">
        <v>29</v>
      </c>
      <c r="L56" s="37" t="s">
        <v>282</v>
      </c>
    </row>
    <row r="57" spans="1:11" ht="63.75">
      <c r="A57" t="s">
        <v>562</v>
      </c>
      <c r="B57" s="14" t="s">
        <v>245</v>
      </c>
      <c r="C57" s="5">
        <v>1.8</v>
      </c>
      <c r="D57" s="4">
        <v>1.1</v>
      </c>
      <c r="E57" s="4">
        <v>2.9</v>
      </c>
      <c r="F57" s="5">
        <f t="shared" si="0"/>
        <v>37.931034482758626</v>
      </c>
      <c r="G57" s="6">
        <v>2004</v>
      </c>
      <c r="H57" s="33" t="s">
        <v>269</v>
      </c>
      <c r="I57" s="33" t="s">
        <v>45</v>
      </c>
      <c r="J57" s="33" t="s">
        <v>43</v>
      </c>
      <c r="K57" s="95" t="s">
        <v>44</v>
      </c>
    </row>
    <row r="58" spans="2:11" ht="51">
      <c r="B58" s="14" t="s">
        <v>127</v>
      </c>
      <c r="C58" s="5">
        <v>4.2</v>
      </c>
      <c r="D58" s="4">
        <v>1</v>
      </c>
      <c r="E58" s="4">
        <v>5.2</v>
      </c>
      <c r="F58" s="5">
        <f t="shared" si="0"/>
        <v>19.23076923076923</v>
      </c>
      <c r="G58" s="6">
        <v>2000</v>
      </c>
      <c r="H58" s="33" t="s">
        <v>193</v>
      </c>
      <c r="I58" s="33" t="s">
        <v>18</v>
      </c>
      <c r="J58" s="33" t="s">
        <v>125</v>
      </c>
      <c r="K58" s="95" t="s">
        <v>126</v>
      </c>
    </row>
    <row r="59" spans="1:11" ht="165.75">
      <c r="A59" t="s">
        <v>562</v>
      </c>
      <c r="B59" s="14" t="s">
        <v>246</v>
      </c>
      <c r="C59" s="5">
        <v>1.8</v>
      </c>
      <c r="D59" s="4">
        <v>1.6</v>
      </c>
      <c r="E59" s="4">
        <v>3.4</v>
      </c>
      <c r="F59" s="5">
        <v>47.05882352941177</v>
      </c>
      <c r="G59" s="6">
        <v>2001</v>
      </c>
      <c r="H59" s="33" t="s">
        <v>333</v>
      </c>
      <c r="I59" s="33" t="s">
        <v>36</v>
      </c>
      <c r="J59" s="33" t="s">
        <v>46</v>
      </c>
      <c r="K59" s="95" t="s">
        <v>47</v>
      </c>
    </row>
    <row r="60" spans="1:12" ht="76.5">
      <c r="A60" s="34"/>
      <c r="B60" s="14" t="s">
        <v>247</v>
      </c>
      <c r="C60" s="39">
        <v>0.7</v>
      </c>
      <c r="D60" s="4">
        <v>1.1</v>
      </c>
      <c r="E60" s="4">
        <v>1.8</v>
      </c>
      <c r="F60" s="5">
        <f>D60/E60*100</f>
        <v>61.111111111111114</v>
      </c>
      <c r="G60" s="6">
        <v>2000</v>
      </c>
      <c r="H60" s="33" t="s">
        <v>318</v>
      </c>
      <c r="I60" s="33" t="s">
        <v>319</v>
      </c>
      <c r="J60" s="33" t="s">
        <v>28</v>
      </c>
      <c r="K60" s="95" t="s">
        <v>29</v>
      </c>
      <c r="L60" s="37" t="s">
        <v>283</v>
      </c>
    </row>
    <row r="61" spans="1:12" s="84" customFormat="1" ht="25.5">
      <c r="A61" s="86" t="s">
        <v>562</v>
      </c>
      <c r="B61" s="14" t="s">
        <v>248</v>
      </c>
      <c r="C61" s="5" t="s">
        <v>193</v>
      </c>
      <c r="D61" s="4" t="s">
        <v>193</v>
      </c>
      <c r="E61" s="5">
        <v>2</v>
      </c>
      <c r="F61" s="5" t="s">
        <v>193</v>
      </c>
      <c r="G61" s="6">
        <v>2000</v>
      </c>
      <c r="H61" s="33" t="s">
        <v>193</v>
      </c>
      <c r="I61" s="33" t="s">
        <v>193</v>
      </c>
      <c r="J61" s="33" t="s">
        <v>166</v>
      </c>
      <c r="K61" s="95" t="s">
        <v>165</v>
      </c>
      <c r="L61" s="83"/>
    </row>
    <row r="62" spans="1:12" s="84" customFormat="1" ht="51">
      <c r="A62" s="85" t="s">
        <v>562</v>
      </c>
      <c r="B62" s="14" t="s">
        <v>249</v>
      </c>
      <c r="C62" s="5">
        <v>1.6</v>
      </c>
      <c r="D62" s="4">
        <v>2.5</v>
      </c>
      <c r="E62" s="5">
        <v>4.1</v>
      </c>
      <c r="F62" s="5">
        <f aca="true" t="shared" si="1" ref="F62:F68">D62/E62*100</f>
        <v>60.97560975609757</v>
      </c>
      <c r="G62" s="6">
        <v>1999</v>
      </c>
      <c r="H62" s="33" t="s">
        <v>123</v>
      </c>
      <c r="I62" s="33" t="s">
        <v>124</v>
      </c>
      <c r="J62" s="33" t="s">
        <v>125</v>
      </c>
      <c r="K62" s="95" t="s">
        <v>126</v>
      </c>
      <c r="L62" s="83"/>
    </row>
    <row r="63" spans="1:12" s="84" customFormat="1" ht="63.75">
      <c r="A63" s="85" t="s">
        <v>562</v>
      </c>
      <c r="B63" s="14" t="s">
        <v>250</v>
      </c>
      <c r="C63" s="5">
        <v>1.01</v>
      </c>
      <c r="D63" s="4">
        <v>0.76</v>
      </c>
      <c r="E63" s="4">
        <f>C63+D63</f>
        <v>1.77</v>
      </c>
      <c r="F63" s="5">
        <f t="shared" si="1"/>
        <v>42.93785310734463</v>
      </c>
      <c r="G63" s="7" t="s">
        <v>394</v>
      </c>
      <c r="H63" s="33" t="s">
        <v>397</v>
      </c>
      <c r="I63" s="33" t="s">
        <v>396</v>
      </c>
      <c r="J63" s="33" t="s">
        <v>395</v>
      </c>
      <c r="K63" s="77"/>
      <c r="L63" s="83"/>
    </row>
    <row r="64" spans="1:12" ht="153">
      <c r="A64" s="34"/>
      <c r="B64" s="14" t="s">
        <v>251</v>
      </c>
      <c r="C64" s="5">
        <v>2.6</v>
      </c>
      <c r="D64" s="4">
        <v>1</v>
      </c>
      <c r="E64" s="4">
        <v>3.5</v>
      </c>
      <c r="F64" s="5">
        <f t="shared" si="1"/>
        <v>28.57142857142857</v>
      </c>
      <c r="G64" s="6">
        <v>2002</v>
      </c>
      <c r="H64" s="33" t="s">
        <v>320</v>
      </c>
      <c r="I64" s="33" t="s">
        <v>321</v>
      </c>
      <c r="J64" s="33" t="s">
        <v>28</v>
      </c>
      <c r="K64" s="95" t="s">
        <v>29</v>
      </c>
      <c r="L64" s="37" t="s">
        <v>284</v>
      </c>
    </row>
    <row r="65" spans="1:12" s="84" customFormat="1" ht="76.5">
      <c r="A65" s="85" t="s">
        <v>562</v>
      </c>
      <c r="B65" s="14" t="s">
        <v>252</v>
      </c>
      <c r="C65" s="15">
        <v>5.4</v>
      </c>
      <c r="D65" s="15">
        <v>1.1</v>
      </c>
      <c r="E65" s="15">
        <v>6.5</v>
      </c>
      <c r="F65" s="5">
        <f t="shared" si="1"/>
        <v>16.923076923076923</v>
      </c>
      <c r="G65" s="6">
        <v>2000</v>
      </c>
      <c r="H65" s="33" t="s">
        <v>357</v>
      </c>
      <c r="I65" s="33" t="s">
        <v>322</v>
      </c>
      <c r="J65" s="33" t="s">
        <v>125</v>
      </c>
      <c r="K65" s="95" t="s">
        <v>126</v>
      </c>
      <c r="L65" s="83"/>
    </row>
    <row r="66" spans="1:12" s="84" customFormat="1" ht="25.5">
      <c r="A66" s="86" t="s">
        <v>562</v>
      </c>
      <c r="B66" s="14" t="s">
        <v>253</v>
      </c>
      <c r="C66" s="5">
        <v>5</v>
      </c>
      <c r="D66" s="4">
        <v>1.7</v>
      </c>
      <c r="E66" s="4">
        <f>C66+D66</f>
        <v>6.7</v>
      </c>
      <c r="F66" s="5">
        <f t="shared" si="1"/>
        <v>25.37313432835821</v>
      </c>
      <c r="G66" s="6">
        <v>2005</v>
      </c>
      <c r="H66" s="33" t="s">
        <v>117</v>
      </c>
      <c r="I66" s="33" t="s">
        <v>115</v>
      </c>
      <c r="J66" s="33" t="s">
        <v>116</v>
      </c>
      <c r="K66" s="77" t="s">
        <v>111</v>
      </c>
      <c r="L66" s="83"/>
    </row>
    <row r="67" spans="1:12" s="84" customFormat="1" ht="25.5">
      <c r="A67" s="86"/>
      <c r="B67" s="14" t="s">
        <v>128</v>
      </c>
      <c r="C67" s="5">
        <v>1.84</v>
      </c>
      <c r="D67" s="4">
        <v>0.4</v>
      </c>
      <c r="E67" s="4">
        <f>C67+D67</f>
        <v>2.24</v>
      </c>
      <c r="F67" s="5">
        <f t="shared" si="1"/>
        <v>17.857142857142858</v>
      </c>
      <c r="G67" s="6">
        <v>2000</v>
      </c>
      <c r="H67" s="33" t="s">
        <v>129</v>
      </c>
      <c r="I67" s="33" t="s">
        <v>130</v>
      </c>
      <c r="J67" s="33" t="s">
        <v>132</v>
      </c>
      <c r="K67" s="95" t="s">
        <v>131</v>
      </c>
      <c r="L67" s="83"/>
    </row>
    <row r="68" spans="1:14" s="84" customFormat="1" ht="153">
      <c r="A68" s="87"/>
      <c r="B68" s="14" t="s">
        <v>254</v>
      </c>
      <c r="C68" s="5">
        <v>3.18</v>
      </c>
      <c r="D68" s="4">
        <v>0.71</v>
      </c>
      <c r="E68" s="4">
        <v>3.89</v>
      </c>
      <c r="F68" s="5">
        <f t="shared" si="1"/>
        <v>18.25192802056555</v>
      </c>
      <c r="G68" s="6">
        <v>2005</v>
      </c>
      <c r="H68" s="33" t="s">
        <v>122</v>
      </c>
      <c r="I68" s="33" t="s">
        <v>121</v>
      </c>
      <c r="J68" s="33" t="s">
        <v>374</v>
      </c>
      <c r="K68" s="96" t="s">
        <v>375</v>
      </c>
      <c r="L68" s="88"/>
      <c r="M68" s="89"/>
      <c r="N68" s="89"/>
    </row>
    <row r="69" spans="1:11" ht="153">
      <c r="A69" t="s">
        <v>562</v>
      </c>
      <c r="B69" s="14" t="s">
        <v>256</v>
      </c>
      <c r="C69" s="5">
        <v>2.7</v>
      </c>
      <c r="D69" s="4">
        <v>1</v>
      </c>
      <c r="E69" s="4">
        <v>3.7</v>
      </c>
      <c r="F69" s="5">
        <v>27.027027027027025</v>
      </c>
      <c r="G69" s="6">
        <v>2000</v>
      </c>
      <c r="H69" s="33" t="s">
        <v>365</v>
      </c>
      <c r="I69" s="33" t="s">
        <v>180</v>
      </c>
      <c r="J69" s="33" t="s">
        <v>33</v>
      </c>
      <c r="K69" s="95" t="s">
        <v>32</v>
      </c>
    </row>
    <row r="70" spans="1:11" ht="165.75">
      <c r="A70" t="s">
        <v>562</v>
      </c>
      <c r="B70" s="14" t="s">
        <v>255</v>
      </c>
      <c r="C70" s="5">
        <v>0.6</v>
      </c>
      <c r="D70" s="4">
        <v>2</v>
      </c>
      <c r="E70" s="4">
        <v>2.6</v>
      </c>
      <c r="F70" s="5">
        <v>76.92307692307692</v>
      </c>
      <c r="G70" s="46" t="s">
        <v>370</v>
      </c>
      <c r="H70" s="33" t="s">
        <v>366</v>
      </c>
      <c r="I70" s="33" t="s">
        <v>181</v>
      </c>
      <c r="J70" s="33" t="s">
        <v>334</v>
      </c>
      <c r="K70" s="77" t="s">
        <v>34</v>
      </c>
    </row>
    <row r="71" spans="1:12" s="84" customFormat="1" ht="178.5">
      <c r="A71" s="85"/>
      <c r="B71" s="14" t="s">
        <v>524</v>
      </c>
      <c r="C71" s="5">
        <f>35.6*E71/100</f>
        <v>1.2816</v>
      </c>
      <c r="D71" s="4">
        <f>E71-C71</f>
        <v>2.3184</v>
      </c>
      <c r="E71" s="4">
        <v>3.6</v>
      </c>
      <c r="F71" s="5">
        <f>D71/E71*100</f>
        <v>64.4</v>
      </c>
      <c r="G71" s="46">
        <v>2002</v>
      </c>
      <c r="H71" s="33" t="s">
        <v>52</v>
      </c>
      <c r="I71" s="33" t="s">
        <v>53</v>
      </c>
      <c r="J71" s="33" t="s">
        <v>54</v>
      </c>
      <c r="K71" s="95" t="s">
        <v>55</v>
      </c>
      <c r="L71" s="83"/>
    </row>
    <row r="72" spans="1:12" s="84" customFormat="1" ht="25.5">
      <c r="A72" s="86" t="s">
        <v>562</v>
      </c>
      <c r="B72" s="14" t="s">
        <v>257</v>
      </c>
      <c r="C72" s="15">
        <f>9.4+0.2</f>
        <v>9.6</v>
      </c>
      <c r="D72" s="15">
        <f>0.3+0.2</f>
        <v>0.5</v>
      </c>
      <c r="E72" s="15">
        <v>10.1</v>
      </c>
      <c r="F72" s="5">
        <f>D72/E72*100</f>
        <v>4.9504950495049505</v>
      </c>
      <c r="G72" s="6">
        <v>2005</v>
      </c>
      <c r="H72" s="33" t="s">
        <v>112</v>
      </c>
      <c r="I72" s="33" t="s">
        <v>113</v>
      </c>
      <c r="J72" s="33" t="s">
        <v>114</v>
      </c>
      <c r="K72" s="77" t="s">
        <v>111</v>
      </c>
      <c r="L72" s="83"/>
    </row>
    <row r="73" spans="1:12" s="84" customFormat="1" ht="89.25">
      <c r="A73" s="85" t="s">
        <v>562</v>
      </c>
      <c r="B73" s="14" t="s">
        <v>534</v>
      </c>
      <c r="C73" s="5">
        <v>1.07</v>
      </c>
      <c r="D73" s="4">
        <v>0.64</v>
      </c>
      <c r="E73" s="4">
        <f>C73+D73</f>
        <v>1.71</v>
      </c>
      <c r="F73" s="5">
        <f>D73/E73*100</f>
        <v>37.42690058479533</v>
      </c>
      <c r="G73" s="6">
        <v>1998</v>
      </c>
      <c r="H73" s="33" t="s">
        <v>137</v>
      </c>
      <c r="I73" s="33" t="s">
        <v>3</v>
      </c>
      <c r="J73" s="33" t="s">
        <v>393</v>
      </c>
      <c r="K73" s="95" t="s">
        <v>392</v>
      </c>
      <c r="L73" s="83"/>
    </row>
    <row r="74" spans="1:12" ht="21" customHeight="1">
      <c r="A74" s="25"/>
      <c r="B74" s="26" t="s">
        <v>574</v>
      </c>
      <c r="C74" s="28"/>
      <c r="D74" s="27"/>
      <c r="E74" s="27"/>
      <c r="F74" s="28"/>
      <c r="G74" s="29"/>
      <c r="H74" s="30"/>
      <c r="I74" s="30"/>
      <c r="J74" s="30"/>
      <c r="K74" s="75"/>
      <c r="L74" s="44"/>
    </row>
    <row r="75" spans="1:12" s="84" customFormat="1" ht="51">
      <c r="A75" s="85" t="s">
        <v>561</v>
      </c>
      <c r="B75" s="3" t="s">
        <v>196</v>
      </c>
      <c r="C75" s="9">
        <v>5</v>
      </c>
      <c r="D75" s="9">
        <f>3.1+0.6</f>
        <v>3.7</v>
      </c>
      <c r="E75" s="9">
        <f>C75+D75</f>
        <v>8.7</v>
      </c>
      <c r="F75" s="9">
        <f>D75/E75*100</f>
        <v>42.52873563218391</v>
      </c>
      <c r="G75" s="11">
        <v>2000</v>
      </c>
      <c r="H75" s="22" t="s">
        <v>62</v>
      </c>
      <c r="I75" s="22" t="s">
        <v>63</v>
      </c>
      <c r="J75" s="22" t="s">
        <v>61</v>
      </c>
      <c r="K75" s="73" t="s">
        <v>60</v>
      </c>
      <c r="L75" s="24" t="s">
        <v>68</v>
      </c>
    </row>
    <row r="76" spans="1:12" s="84" customFormat="1" ht="51">
      <c r="A76" s="90" t="s">
        <v>561</v>
      </c>
      <c r="B76" s="3" t="s">
        <v>197</v>
      </c>
      <c r="C76" s="9">
        <v>1.39</v>
      </c>
      <c r="D76" s="8" t="s">
        <v>193</v>
      </c>
      <c r="E76" s="9" t="s">
        <v>193</v>
      </c>
      <c r="F76" s="9" t="s">
        <v>193</v>
      </c>
      <c r="G76" s="11">
        <v>2000</v>
      </c>
      <c r="H76" s="22" t="s">
        <v>268</v>
      </c>
      <c r="I76" s="22" t="s">
        <v>193</v>
      </c>
      <c r="J76" s="22" t="s">
        <v>548</v>
      </c>
      <c r="K76" s="76" t="s">
        <v>261</v>
      </c>
      <c r="L76" s="83"/>
    </row>
    <row r="77" spans="1:12" s="84" customFormat="1" ht="51">
      <c r="A77" s="90" t="s">
        <v>561</v>
      </c>
      <c r="B77" s="3" t="s">
        <v>198</v>
      </c>
      <c r="C77" s="9">
        <v>5.1</v>
      </c>
      <c r="D77" s="8">
        <v>4.9</v>
      </c>
      <c r="E77" s="9">
        <v>10</v>
      </c>
      <c r="F77" s="9">
        <f>D77/E77*100</f>
        <v>49.00000000000001</v>
      </c>
      <c r="G77" s="11">
        <v>2003</v>
      </c>
      <c r="H77" s="22" t="s">
        <v>50</v>
      </c>
      <c r="I77" s="22" t="s">
        <v>51</v>
      </c>
      <c r="J77" s="22" t="s">
        <v>49</v>
      </c>
      <c r="K77" s="76" t="s">
        <v>48</v>
      </c>
      <c r="L77" s="83"/>
    </row>
    <row r="78" spans="1:12" s="84" customFormat="1" ht="63.75">
      <c r="A78" s="90" t="s">
        <v>561</v>
      </c>
      <c r="B78" s="3" t="s">
        <v>586</v>
      </c>
      <c r="C78" s="9">
        <v>2.7</v>
      </c>
      <c r="D78" s="9">
        <v>1.61</v>
      </c>
      <c r="E78" s="9">
        <v>4.31</v>
      </c>
      <c r="F78" s="9">
        <v>37.35498839907193</v>
      </c>
      <c r="G78" s="11" t="s">
        <v>370</v>
      </c>
      <c r="H78" s="22" t="s">
        <v>268</v>
      </c>
      <c r="I78" s="22" t="s">
        <v>329</v>
      </c>
      <c r="J78" s="22" t="s">
        <v>547</v>
      </c>
      <c r="K78" s="76" t="s">
        <v>261</v>
      </c>
      <c r="L78" s="83"/>
    </row>
    <row r="79" spans="1:11" ht="63.75">
      <c r="A79" t="s">
        <v>561</v>
      </c>
      <c r="B79" s="3" t="s">
        <v>480</v>
      </c>
      <c r="C79" s="9">
        <v>1.12</v>
      </c>
      <c r="D79" s="9">
        <v>2.7</v>
      </c>
      <c r="E79" s="9">
        <v>3.82</v>
      </c>
      <c r="F79" s="9">
        <v>70.68062827225131</v>
      </c>
      <c r="G79" s="11">
        <v>2000</v>
      </c>
      <c r="H79" s="22" t="s">
        <v>268</v>
      </c>
      <c r="I79" s="22" t="s">
        <v>335</v>
      </c>
      <c r="J79" s="22" t="s">
        <v>547</v>
      </c>
      <c r="K79" s="76" t="s">
        <v>83</v>
      </c>
    </row>
    <row r="80" spans="1:12" s="84" customFormat="1" ht="39">
      <c r="A80" s="86"/>
      <c r="B80" s="14" t="s">
        <v>98</v>
      </c>
      <c r="C80" s="5">
        <f>E80-D80</f>
        <v>3.160000000000002</v>
      </c>
      <c r="D80" s="5">
        <v>15.94</v>
      </c>
      <c r="E80" s="5">
        <v>19.1</v>
      </c>
      <c r="F80" s="5">
        <f>D80/E80*100</f>
        <v>83.45549738219894</v>
      </c>
      <c r="G80" s="6">
        <v>2004</v>
      </c>
      <c r="H80" s="33" t="s">
        <v>100</v>
      </c>
      <c r="I80" s="33" t="s">
        <v>99</v>
      </c>
      <c r="J80" s="93" t="s">
        <v>101</v>
      </c>
      <c r="K80" s="76" t="s">
        <v>82</v>
      </c>
      <c r="L80" s="83"/>
    </row>
    <row r="81" spans="1:12" s="84" customFormat="1" ht="105">
      <c r="A81" s="85" t="s">
        <v>561</v>
      </c>
      <c r="B81" s="3" t="s">
        <v>199</v>
      </c>
      <c r="C81" s="9">
        <v>4</v>
      </c>
      <c r="D81" s="9">
        <f>0.61+0.7</f>
        <v>1.31</v>
      </c>
      <c r="E81" s="9">
        <f>C81+D81</f>
        <v>5.3100000000000005</v>
      </c>
      <c r="F81" s="9">
        <f>D81/E81*100</f>
        <v>24.670433145009415</v>
      </c>
      <c r="G81" s="11">
        <v>2002</v>
      </c>
      <c r="H81" s="22" t="s">
        <v>102</v>
      </c>
      <c r="I81" s="22" t="s">
        <v>145</v>
      </c>
      <c r="J81" s="22" t="s">
        <v>103</v>
      </c>
      <c r="K81" s="76" t="s">
        <v>104</v>
      </c>
      <c r="L81" s="83"/>
    </row>
    <row r="82" spans="1:11" ht="52.5">
      <c r="A82" t="s">
        <v>561</v>
      </c>
      <c r="B82" s="3" t="s">
        <v>200</v>
      </c>
      <c r="C82" s="9">
        <v>5.9</v>
      </c>
      <c r="D82" s="8" t="s">
        <v>193</v>
      </c>
      <c r="E82" s="9" t="s">
        <v>193</v>
      </c>
      <c r="F82" s="9" t="s">
        <v>193</v>
      </c>
      <c r="G82" s="11">
        <v>1996</v>
      </c>
      <c r="H82" s="22" t="s">
        <v>268</v>
      </c>
      <c r="I82" s="22" t="s">
        <v>193</v>
      </c>
      <c r="J82" s="22" t="s">
        <v>548</v>
      </c>
      <c r="K82" s="76" t="s">
        <v>261</v>
      </c>
    </row>
    <row r="83" spans="1:12" s="84" customFormat="1" ht="52.5">
      <c r="A83" s="86"/>
      <c r="B83" s="14" t="s">
        <v>105</v>
      </c>
      <c r="C83" s="5">
        <v>2.5</v>
      </c>
      <c r="D83" s="4">
        <v>0.4</v>
      </c>
      <c r="E83" s="5">
        <f>C83+D83</f>
        <v>2.9</v>
      </c>
      <c r="F83" s="5">
        <f>D83/E83*100</f>
        <v>13.793103448275861</v>
      </c>
      <c r="G83" s="6">
        <v>2004</v>
      </c>
      <c r="H83" s="33" t="s">
        <v>106</v>
      </c>
      <c r="I83" s="33" t="s">
        <v>146</v>
      </c>
      <c r="J83" s="33" t="s">
        <v>108</v>
      </c>
      <c r="K83" s="77" t="s">
        <v>107</v>
      </c>
      <c r="L83" s="83"/>
    </row>
    <row r="84" spans="1:11" ht="105">
      <c r="A84" t="s">
        <v>561</v>
      </c>
      <c r="B84" s="3" t="s">
        <v>201</v>
      </c>
      <c r="C84" s="9">
        <v>2.77</v>
      </c>
      <c r="D84" s="9">
        <v>1.9</v>
      </c>
      <c r="E84" s="9">
        <v>4.67</v>
      </c>
      <c r="F84" s="9">
        <v>40.685224839400426</v>
      </c>
      <c r="G84" s="11" t="s">
        <v>371</v>
      </c>
      <c r="H84" s="22" t="s">
        <v>355</v>
      </c>
      <c r="I84" s="22" t="s">
        <v>356</v>
      </c>
      <c r="J84" s="22" t="s">
        <v>551</v>
      </c>
      <c r="K84" s="73" t="s">
        <v>552</v>
      </c>
    </row>
    <row r="85" spans="1:11" ht="52.5">
      <c r="A85" t="s">
        <v>561</v>
      </c>
      <c r="B85" s="3" t="s">
        <v>585</v>
      </c>
      <c r="C85" s="9">
        <v>0.6</v>
      </c>
      <c r="D85" s="8" t="s">
        <v>193</v>
      </c>
      <c r="E85" s="9" t="s">
        <v>193</v>
      </c>
      <c r="F85" s="9" t="s">
        <v>193</v>
      </c>
      <c r="G85" s="11">
        <v>1999</v>
      </c>
      <c r="H85" s="22" t="s">
        <v>268</v>
      </c>
      <c r="I85" s="22" t="s">
        <v>193</v>
      </c>
      <c r="J85" s="22" t="s">
        <v>548</v>
      </c>
      <c r="K85" s="76" t="s">
        <v>261</v>
      </c>
    </row>
    <row r="86" spans="1:11" ht="66">
      <c r="A86" t="s">
        <v>561</v>
      </c>
      <c r="B86" s="3" t="s">
        <v>202</v>
      </c>
      <c r="C86" s="9">
        <v>4.2</v>
      </c>
      <c r="D86" s="9">
        <v>2.32</v>
      </c>
      <c r="E86" s="9">
        <v>6.52</v>
      </c>
      <c r="F86" s="9">
        <v>35.58282208588957</v>
      </c>
      <c r="G86" s="7" t="s">
        <v>370</v>
      </c>
      <c r="H86" s="22" t="s">
        <v>578</v>
      </c>
      <c r="I86" s="22" t="s">
        <v>579</v>
      </c>
      <c r="J86" s="22" t="s">
        <v>554</v>
      </c>
      <c r="K86" s="76" t="s">
        <v>261</v>
      </c>
    </row>
    <row r="87" spans="1:11" ht="39">
      <c r="A87" t="s">
        <v>561</v>
      </c>
      <c r="B87" s="3" t="s">
        <v>195</v>
      </c>
      <c r="C87" s="9" t="s">
        <v>193</v>
      </c>
      <c r="D87" s="8" t="s">
        <v>193</v>
      </c>
      <c r="E87" s="8">
        <v>5.7</v>
      </c>
      <c r="F87" s="9" t="s">
        <v>193</v>
      </c>
      <c r="G87" s="11" t="s">
        <v>556</v>
      </c>
      <c r="H87" s="22" t="s">
        <v>7</v>
      </c>
      <c r="I87" s="22" t="s">
        <v>8</v>
      </c>
      <c r="J87" s="22" t="s">
        <v>9</v>
      </c>
      <c r="K87" s="76" t="s">
        <v>313</v>
      </c>
    </row>
    <row r="88" spans="1:11" ht="66">
      <c r="A88" t="s">
        <v>561</v>
      </c>
      <c r="B88" s="3" t="s">
        <v>584</v>
      </c>
      <c r="C88" s="9">
        <v>0.9</v>
      </c>
      <c r="D88" s="9">
        <v>1</v>
      </c>
      <c r="E88" s="9">
        <v>1.9</v>
      </c>
      <c r="F88" s="9">
        <v>52.63157894736842</v>
      </c>
      <c r="G88" s="11">
        <v>1999</v>
      </c>
      <c r="H88" s="22" t="s">
        <v>268</v>
      </c>
      <c r="I88" s="22" t="s">
        <v>10</v>
      </c>
      <c r="J88" s="22" t="s">
        <v>547</v>
      </c>
      <c r="K88" s="76" t="s">
        <v>261</v>
      </c>
    </row>
    <row r="89" spans="1:12" ht="19.5" customHeight="1">
      <c r="A89" s="25"/>
      <c r="B89" s="26" t="s">
        <v>569</v>
      </c>
      <c r="C89" s="28"/>
      <c r="D89" s="28"/>
      <c r="E89" s="28"/>
      <c r="F89" s="28"/>
      <c r="G89" s="29"/>
      <c r="H89" s="30"/>
      <c r="I89" s="30"/>
      <c r="J89" s="30"/>
      <c r="K89" s="75"/>
      <c r="L89" s="44"/>
    </row>
    <row r="90" spans="1:12" ht="78.75">
      <c r="A90" s="37"/>
      <c r="B90" s="14" t="s">
        <v>234</v>
      </c>
      <c r="C90" s="5">
        <v>1.3</v>
      </c>
      <c r="D90" s="4">
        <v>0.7</v>
      </c>
      <c r="E90" s="5">
        <v>2</v>
      </c>
      <c r="F90" s="5">
        <v>35</v>
      </c>
      <c r="G90" s="6">
        <v>2004</v>
      </c>
      <c r="H90" s="33" t="s">
        <v>280</v>
      </c>
      <c r="I90" s="33" t="s">
        <v>279</v>
      </c>
      <c r="J90" s="33" t="s">
        <v>27</v>
      </c>
      <c r="K90" s="92" t="s">
        <v>26</v>
      </c>
      <c r="L90" s="92"/>
    </row>
    <row r="91" spans="1:12" s="84" customFormat="1" ht="26.25">
      <c r="A91" s="86"/>
      <c r="B91" s="47" t="s">
        <v>109</v>
      </c>
      <c r="C91" s="5">
        <v>2.1</v>
      </c>
      <c r="D91" s="4">
        <f>E91-C91</f>
        <v>2.1999999999999997</v>
      </c>
      <c r="E91" s="5">
        <v>4.3</v>
      </c>
      <c r="F91" s="5">
        <f>D91/E91*100</f>
        <v>51.16279069767441</v>
      </c>
      <c r="G91" s="6">
        <v>2004</v>
      </c>
      <c r="H91" s="33" t="s">
        <v>102</v>
      </c>
      <c r="I91" s="33" t="s">
        <v>147</v>
      </c>
      <c r="J91" s="33" t="s">
        <v>110</v>
      </c>
      <c r="K91" s="77" t="s">
        <v>111</v>
      </c>
      <c r="L91" s="83"/>
    </row>
    <row r="92" spans="1:12" s="84" customFormat="1" ht="52.5">
      <c r="A92" s="86"/>
      <c r="B92" s="47" t="s">
        <v>87</v>
      </c>
      <c r="C92" s="5">
        <v>0.2</v>
      </c>
      <c r="D92" s="4">
        <v>0.2</v>
      </c>
      <c r="E92" s="5">
        <f>C92+D92</f>
        <v>0.4</v>
      </c>
      <c r="F92" s="5">
        <f>D92/E92*100</f>
        <v>50</v>
      </c>
      <c r="G92" s="6">
        <v>2004</v>
      </c>
      <c r="H92" s="33" t="s">
        <v>88</v>
      </c>
      <c r="I92" s="33" t="s">
        <v>148</v>
      </c>
      <c r="J92" s="33" t="s">
        <v>90</v>
      </c>
      <c r="K92" s="95" t="s">
        <v>89</v>
      </c>
      <c r="L92" s="83"/>
    </row>
    <row r="93" spans="1:12" s="84" customFormat="1" ht="39">
      <c r="A93" s="86"/>
      <c r="B93" s="38" t="s">
        <v>235</v>
      </c>
      <c r="C93" s="5">
        <v>1.4</v>
      </c>
      <c r="D93" s="15">
        <v>0.4</v>
      </c>
      <c r="E93" s="5">
        <f>C93+D93</f>
        <v>1.7999999999999998</v>
      </c>
      <c r="F93" s="5">
        <f>D93/E93*100</f>
        <v>22.222222222222225</v>
      </c>
      <c r="G93" s="7" t="s">
        <v>81</v>
      </c>
      <c r="H93" s="33" t="s">
        <v>88</v>
      </c>
      <c r="I93" s="33" t="s">
        <v>92</v>
      </c>
      <c r="J93" s="33" t="s">
        <v>93</v>
      </c>
      <c r="K93" s="95" t="s">
        <v>91</v>
      </c>
      <c r="L93" s="83"/>
    </row>
    <row r="94" spans="1:12" s="84" customFormat="1" ht="158.25">
      <c r="A94" s="86"/>
      <c r="B94" s="38" t="s">
        <v>236</v>
      </c>
      <c r="C94" s="5">
        <v>2</v>
      </c>
      <c r="D94" s="5">
        <v>1</v>
      </c>
      <c r="E94" s="5">
        <f>C94+D94</f>
        <v>3</v>
      </c>
      <c r="F94" s="5">
        <f>D94/E94*100</f>
        <v>33.33333333333333</v>
      </c>
      <c r="G94" s="6">
        <v>2004</v>
      </c>
      <c r="H94" s="33" t="s">
        <v>97</v>
      </c>
      <c r="I94" s="33" t="s">
        <v>94</v>
      </c>
      <c r="J94" s="33" t="s">
        <v>95</v>
      </c>
      <c r="K94" s="95" t="s">
        <v>96</v>
      </c>
      <c r="L94" s="83"/>
    </row>
    <row r="95" ht="12.75">
      <c r="B95" s="24"/>
    </row>
  </sheetData>
  <sheetProtection/>
  <autoFilter ref="B1:K94"/>
  <mergeCells count="1">
    <mergeCell ref="H13:I13"/>
  </mergeCells>
  <hyperlinks>
    <hyperlink ref="K84" r:id="rId1" display="http://imagebank.worldbank.org/servlet/WDS_IBank_Servlet?pcont=details&amp;menuPK=64154159&amp;searchMenuPK=64154240&amp;theSitePK=501889&amp;eid=000094946_01052204005063&amp;siteName=IMAGEBANK"/>
    <hyperlink ref="K82" r:id="rId2" display="http://www-wds.worldbank.org/servlet/WDSContentServer/WDSP/IB/2002/08/09/000094946_02073004020126/Rendered/PDF/multi0page.pdf"/>
    <hyperlink ref="K42" r:id="rId3" display="http://www-wds.worldbank.org/external/default/main?pagePK=64193027&amp;piPK=64187937&amp;theSitePK=523679&amp;menuPK=64187510&amp;searchMenuPK=64187283&amp;theSitePK=523679&amp;entityID=000160016_20031205111436&amp;searchMenuPK=64187283&amp;theSitePK=523679"/>
    <hyperlink ref="K28" r:id="rId4" display="http://imagebank.worldbank.org/servlet/WDSContentServer/IW3P/IB/2002/09/24/000094946_02090704040722/Rendered/PDF/multi0page.pdf"/>
    <hyperlink ref="K25" r:id="rId5" display="http://imagebank.worldbank.org/servlet/WDSContentServer/IW3P/IB/2003/06/27/000012009_20030627104941/Rendered/PDF/248900V0II.pdf"/>
    <hyperlink ref="K34" r:id="rId6" display="http://www-wds.worldbank.org/external/default/main?pagePK=64193027&amp;piPK=64187937&amp;theSitePK=523679&amp;menuPK=64187510&amp;searchMenuPK=64187283&amp;theSitePK=523679&amp;entityID=000090341_20031008132521&amp;searchMenuPK=64187283&amp;theSitePK=523679"/>
    <hyperlink ref="K90" r:id="rId7" display="http://www-wds.worldbank.org/external/default/WDSContentServer/WDSP/IB/2006/12/27/000310607_20061227120919/Rendered/PDF/382900BD0Socia10also03341101PUBLIC1.pdf"/>
    <hyperlink ref="K6" r:id="rId8" display="http://www-wds.worldbank.org/external/default/main?pagePK=64193027&amp;piPK=64187937&amp;theSitePK=523679&amp;menuPK=64187510&amp;searchMenuPK=64187283&amp;theSitePK=523679&amp;entityID=000012009_20040714101156&amp;searchMenuPK=64187283&amp;theSitePK=523679"/>
    <hyperlink ref="K8" r:id="rId9" display="http://www-wds.worldbank.org/external/default/main?pagePK=64193027&amp;piPK=64187937&amp;theSitePK=523679&amp;menuPK=64187510&amp;searchMenuPK=64187283&amp;theSitePK=523679&amp;entityID=000094946_01101804062181&amp;searchMenuPK=64187283&amp;theSitePK=523679"/>
    <hyperlink ref="K13" r:id="rId10" display="http://www-wds.worldbank.org/external/default/main?pagePK=64193027&amp;piPK=64187937&amp;theSitePK=523679&amp;menuPK=64187510&amp;searchMenuPK=64187283&amp;theSitePK=523679&amp;entityID=000090341_20030924104425&amp;searchMenuPK=64187283&amp;theSitePK=523679"/>
    <hyperlink ref="K17" r:id="rId11" display="http://www-wds.worldbank.org/external/default/main?pagePK=64193027&amp;piPK=64187937&amp;theSitePK=523679&amp;menuPK=64187510&amp;searchMenuPK=64187283&amp;theSitePK=523679&amp;entityID=000094946_00061605362942&amp;searchMenuPK=64187283&amp;theSitePK=523679"/>
    <hyperlink ref="K18" r:id="rId12" display="http://www-wds.worldbank.org/external/default/main?pagePK=64193027&amp;piPK=64187937&amp;theSitePK=523679&amp;menuPK=64187510&amp;searchMenuPK=64187283&amp;theSitePK=523679&amp;entityID=000094946_02080604011422&amp;searchMenuPK=64187283&amp;theSitePK=523679"/>
    <hyperlink ref="K21" r:id="rId13" display="http://www-wds.worldbank.org/external/default/main?pagePK=64193027&amp;piPK=64187937&amp;theSitePK=523679&amp;menuPK=64187510&amp;searchMenuPK=64187283&amp;theSitePK=523679&amp;entityID=000094946_00121905412341&amp;searchMenuPK=64187283&amp;theSitePK=523679"/>
    <hyperlink ref="K20" r:id="rId14" display="http://www-wds.worldbank.org/external/default/main?pagePK=64193027&amp;piPK=64187937&amp;theSitePK=523679&amp;menuPK=64187510&amp;searchMenuPK=64187283&amp;theSitePK=523679&amp;entityID=000094946_02071204032016&amp;searchMenuPK=64187283&amp;theSitePK=523679"/>
    <hyperlink ref="K24" r:id="rId15" display="http://www-wds.worldbank.org/external/default/main?pagePK=64193027&amp;piPK=64187937&amp;theSitePK=523679&amp;menuPK=64187510&amp;searchMenuPK=64187283&amp;theSitePK=523679&amp;entityID=000160016_20030520121125&amp;searchMenuPK=64187283&amp;theSitePK=523679"/>
    <hyperlink ref="K26" r:id="rId16" display="http://www-wds.worldbank.org/external/default/main?pagePK=64193027&amp;piPK=64187937&amp;theSitePK=523679&amp;menuPK=64187510&amp;searchMenuPK=64187283&amp;theSitePK=523679&amp;entityID=000090341_20030730105420&amp;searchMenuPK=64187283&amp;theSitePK=523679"/>
    <hyperlink ref="K27" r:id="rId17" display="http://www-wds.worldbank.org/external/default/main?pagePK=64193027&amp;piPK=64187937&amp;theSitePK=523679&amp;menuPK=64187510&amp;searchMenuPK=64187283&amp;theSitePK=523679&amp;entityID=000094946_02101804424590&amp;searchMenuPK=64187283&amp;theSitePK=523679"/>
    <hyperlink ref="K29" r:id="rId18" display="http://www-wds.worldbank.org/external/default/main?pagePK=64193027&amp;piPK=64187937&amp;theSitePK=523679&amp;menuPK=64187510&amp;searchMenuPK=64187283&amp;theSitePK=523679&amp;entityID=000094946_01112004005860&amp;searchMenuPK=64187283&amp;theSitePK=523679"/>
    <hyperlink ref="K30" r:id="rId19" display="http://www-wds.worldbank.org/external/default/main?pagePK=64193027&amp;piPK=64187937&amp;theSitePK=523679&amp;menuPK=64187510&amp;searchMenuPK=64187283&amp;theSitePK=523679&amp;entityID=000094946_01100204031686&amp;searchMenuPK=64187283&amp;theSitePK=523679"/>
    <hyperlink ref="K31" r:id="rId20" display="http://www-wds.worldbank.org/external/default/main?pagePK=64193027&amp;piPK=64187937&amp;theSitePK=523679&amp;menuPK=64187510&amp;searchMenuPK=64187283&amp;theSitePK=523679&amp;entityID=000094946_02122104005440&amp;searchMenuPK=64187283&amp;theSitePK=523679"/>
    <hyperlink ref="K36" r:id="rId21" display="http://www-wds.worldbank.org/external/default/main?pagePK=64193027&amp;piPK=64187937&amp;theSitePK=523679&amp;menuPK=64187510&amp;searchMenuPK=64187283&amp;theSitePK=523679&amp;entityID=000094946_02041304004840&amp;searchMenuPK=64187283&amp;theSitePK=523679"/>
    <hyperlink ref="K39" r:id="rId22" display="http://www-wds.worldbank.org/external/default/main?pagePK=64193027&amp;piPK=64187937&amp;theSitePK=523679&amp;menuPK=64187510&amp;searchMenuPK=64187283&amp;theSitePK=523679&amp;entityID=000160016_20031029100353&amp;searchMenuPK=64187283&amp;theSitePK=523679"/>
    <hyperlink ref="K43" r:id="rId23" display="http://www-wds.worldbank.org/external/default/main?pagePK=64193027&amp;piPK=64187937&amp;theSitePK=523679&amp;menuPK=64187510&amp;searchMenuPK=64187283&amp;theSitePK=523679&amp;entityID=000094946_02122704010489&amp;searchMenuPK=64187283&amp;theSitePK=523679"/>
    <hyperlink ref="K46" r:id="rId24" display="http://www-wds.worldbank.org/external/default/main?pagePK=64193027&amp;piPK=64187937&amp;theSitePK=523679&amp;menuPK=64187510&amp;searchMenuPK=64187283&amp;theSitePK=523679&amp;entityID=000094946_0109210412552&amp;searchMenuPK=64187283&amp;theSitePK=523679"/>
    <hyperlink ref="K47" r:id="rId25" display="http://www-wds.worldbank.org/external/default/main?pagePK=64193027&amp;piPK=64187937&amp;theSitePK=523679&amp;menuPK=64187510&amp;searchMenuPK=64187283&amp;theSitePK=523679&amp;entityID=000160016_20030617131238&amp;searchMenuPK=64187283&amp;theSitePK=523679"/>
    <hyperlink ref="K50" r:id="rId26" display="http://www-wds.worldbank.org/external/default/main?pagePK=64193027&amp;piPK=64187937&amp;theSitePK=523679&amp;menuPK=64187510&amp;searchMenuPK=64187283&amp;theSitePK=523679&amp;entityID=000012009_20050214105516&amp;searchMenuPK=64187283&amp;theSitePK=523679"/>
    <hyperlink ref="K87" r:id="rId27" display="http://www-wds.worldbank.org/external/default/main?pagePK=64193027&amp;piPK=64187937&amp;theSitePK=523679&amp;menuPK=64187510&amp;searchMenuPK=64187283&amp;theSitePK=523679&amp;entityID=000094946_01072104010092&amp;searchMenuPK=64187283&amp;theSitePK=523679"/>
    <hyperlink ref="K88" r:id="rId28" display="http://www-wds.worldbank.org/servlet/WDSContentServer/WDSP/IB/2002/08/09/000094946_02073004020126/Rendered/PDF/multi0page.pdf"/>
    <hyperlink ref="K92" r:id="rId29" display="http://www-wds.worldbank.org/external/default/WDSContentServer/IW3P/IB/2006/05/01/000160016_20060501163658/Rendered/PDF/348180MV0Socia1white0cover01PUBLIC1.pdf"/>
    <hyperlink ref="K93" r:id="rId30" display="http://www-wds.worldbank.org/external/default/WDSContentServer/WDSP/IB/2007/04/13/000020953_20070413085024/Rendered/PDF/393030PK.pdf"/>
    <hyperlink ref="K94" r:id="rId31" display="http://www-wds.worldbank.org/external/default/WDSContentServer/WDSP/IB/2007/03/30/000020439_20070330092202/Rendered/PDF/381070LK.pdf"/>
    <hyperlink ref="K86" r:id="rId32" display="http://www-wds.worldbank.org/servlet/WDSContentServer/WDSP/IB/2002/08/09/000094946_02073004020126/Rendered/PDF/multi0page.pdf"/>
    <hyperlink ref="K85" r:id="rId33" display="http://www-wds.worldbank.org/servlet/WDSContentServer/WDSP/IB/2002/08/09/000094946_02073004020126/Rendered/PDF/multi0page.pdf"/>
    <hyperlink ref="K81" r:id="rId34" display="http://www-wds.worldbank.org/external/default/WDSContentServer/WDSP/IB/2005/10/12/000160016_20051012165106/Rendered/PDF/338020VOL.02.pdf"/>
    <hyperlink ref="K78" r:id="rId35" display="http://www-wds.worldbank.org/servlet/WDSContentServer/WDSP/IB/2002/08/09/000094946_02073004020126/Rendered/PDF/multi0page.pdf"/>
    <hyperlink ref="K77" r:id="rId36" display="http://www-wds.worldbank.org/external/default/main?pagePK=64193027&amp;piPK=64187937&amp;theSitePK=523679&amp;menuPK=64187510&amp;searchMenuPK=64187283&amp;theSitePK=523679&amp;entityID=000012009_20060428084124&amp;searchMenuPK=64187283&amp;theSitePK=523679"/>
    <hyperlink ref="K76" r:id="rId37" display="http://www-wds.worldbank.org/servlet/WDSContentServer/WDSP/IB/2002/08/09/000094946_02073004020126/Rendered/PDF/multi0page.pdf"/>
    <hyperlink ref="K73" r:id="rId38" display="http://www-wds.worldbank.org/external/default/main?pagePK=64193027&amp;piPK=64187937&amp;theSitePK=523679&amp;menuPK=64187510&amp;searchMenuPK=64187282&amp;theSitePK=523679&amp;entityID=000094946_0104140845140&amp;searchMenuPK=64187282&amp;theSitePK=523679"/>
    <hyperlink ref="K71" r:id="rId39" display="http://www-wds.worldbank.org/external/default/main?pagePK=64193027&amp;piPK=64187937&amp;theSitePK=523679&amp;menuPK=64187510&amp;searchMenuPK=64187283&amp;theSitePK=523679&amp;entityID=000160016_20050628115416&amp;searchMenuPK=64187283&amp;theSitePK=523679"/>
    <hyperlink ref="K69" r:id="rId40" display="http://www-wds.worldbank.org/external/default/main?pagePK=64193027&amp;piPK=64187937&amp;theSitePK=523679&amp;menuPK=64187510&amp;searchMenuPK=64187283&amp;theSitePK=523679&amp;entityID=000160016_20060616104140&amp;searchMenuPK=64187283&amp;theSitePK=523679"/>
    <hyperlink ref="K68" r:id="rId41" display="http://siteresources.worldbank.org/INTPERUINSPANISH/Resources/ProteccionSocialPeru.pdf"/>
    <hyperlink ref="K67" r:id="rId42" display="http://www-wds.worldbank.org/external/default/WDSContentServer/IW3P/IB/2004/10/20/000012009_20041020134302/Rendered/PDF/273520PA.pdf"/>
    <hyperlink ref="K65" r:id="rId43" display="http://www-wds.worldbank.org/external/default/main?pagePK=64193027&amp;piPK=64187937&amp;theSitePK=523679&amp;menuPK=64187510&amp;searchMenuPK=64187283&amp;theSitePK=523679&amp;entityID=000090341_20040218153551&amp;searchMenuPK=64187283&amp;theSitePK=523679"/>
    <hyperlink ref="K64" r:id="rId44" display="http://www-wds.worldbank.org/external/default/main?pagePK=64193027&amp;piPK=64187937&amp;theSitePK=523679&amp;menuPK=64187510&amp;searchMenuPK=64187283&amp;theSitePK=523679&amp;entityID=000090341_20060823110842&amp;searchMenuPK=64187283&amp;theSitePK=523679"/>
    <hyperlink ref="K62" r:id="rId45" display="http://www-wds.worldbank.org/external/default/main?pagePK=64193027&amp;piPK=64187937&amp;theSitePK=523679&amp;menuPK=64187510&amp;searchMenuPK=64187283&amp;theSitePK=523679&amp;entityID=000090341_20040218153551&amp;searchMenuPK=64187283&amp;theSitePK=523679"/>
    <hyperlink ref="K61" r:id="rId46" display="http://www-wds.worldbank.org/external/default/main?pagePK=64193027&amp;piPK=64187937&amp;theSitePK=523679&amp;menuPK=64187510&amp;searchMenuPK=64187283&amp;theSitePK=523679&amp;entityID=000094946_02100204010860&amp;searchMenuPK=64187283&amp;theSitePK=523679"/>
    <hyperlink ref="K60" r:id="rId47" display="http://www-wds.worldbank.org/external/default/main?pagePK=64193027&amp;piPK=64187937&amp;theSitePK=523679&amp;menuPK=64187510&amp;searchMenuPK=64187283&amp;theSitePK=523679&amp;entityID=000090341_20060823110842&amp;searchMenuPK=64187283&amp;theSitePK=523679"/>
    <hyperlink ref="K59" r:id="rId48" display="http://www-wds.worldbank.org/external/default/main?pagePK=64193027&amp;piPK=64187937&amp;theSitePK=523679&amp;menuPK=64187510&amp;searchMenuPK=64187283&amp;theSitePK=523679&amp;entityID=000160016_20060616102435&amp;searchMenuPK=64187283&amp;theSitePK=523679"/>
    <hyperlink ref="K58" r:id="rId49" display="http://www-wds.worldbank.org/external/default/main?pagePK=64193027&amp;piPK=64187937&amp;theSitePK=523679&amp;menuPK=64187510&amp;searchMenuPK=64187283&amp;theSitePK=523679&amp;entityID=000090341_20040218153551&amp;searchMenuPK=64187283&amp;theSitePK=523679"/>
    <hyperlink ref="K57" r:id="rId50" display="http://www-wds.worldbank.org/external/default/main?pagePK=64193027&amp;piPK=64187937&amp;theSitePK=523679&amp;menuPK=64187510&amp;searchMenuPK=64187283&amp;theSitePK=523679&amp;entityID=000012009_20041230100614&amp;searchMenuPK=64187283&amp;theSitePK=523679"/>
    <hyperlink ref="K56" r:id="rId51" display="http://www-wds.worldbank.org/external/default/main?pagePK=64193027&amp;piPK=64187937&amp;theSitePK=523679&amp;menuPK=64187510&amp;searchMenuPK=64187283&amp;theSitePK=523679&amp;entityID=000090341_20060823110842&amp;searchMenuPK=64187283&amp;theSitePK=523679"/>
    <hyperlink ref="K55" r:id="rId52" display="http://www-wds.worldbank.org/external/default/main?pagePK=64193027&amp;piPK=64187937&amp;theSitePK=523679&amp;menuPK=64187510&amp;searchMenuPK=64187283&amp;theSitePK=523679&amp;entityID=000160016_20050729153758&amp;searchMenuPK=64187283&amp;theSitePK=523680"/>
    <hyperlink ref="K53" r:id="rId53" display="http://www-wds.worldbank.org/external/default/main?pagePK=64193027&amp;piPK=64187937&amp;theSitePK=523679&amp;menuPK=64187510&amp;searchMenuPK=64187283&amp;theSitePK=523679&amp;entityID=000090341_20060823110842&amp;searchMenuPK=64187283&amp;theSitePK=523679"/>
    <hyperlink ref="K52" r:id="rId54" display="http://www-wds.worldbank.org/external/default/main?pagePK=64193027&amp;piPK=64187937&amp;theSitePK=523679&amp;menuPK=64187510&amp;searchMenuPK=64187283&amp;theSitePK=523679&amp;entityID=000090341_20060823110842&amp;searchMenuPK=64187283&amp;theSitePK=523679"/>
    <hyperlink ref="K51" r:id="rId55" display="http://www-wds.worldbank.org/external/default/main?pagePK=64193027&amp;piPK=64187937&amp;theSitePK=523679&amp;menuPK=64187510&amp;searchMenuPK=64187283&amp;theSitePK=523679&amp;entityID=000090341_20060823110842&amp;searchMenuPK=64187283&amp;theSitePK=523679"/>
    <hyperlink ref="K49" r:id="rId56" display="http://www-wds.worldbank.org/external/default/main?pagePK=64193027&amp;piPK=64187937&amp;theSitePK=523679&amp;menuPK=64187510&amp;searchMenuPK=64187283&amp;theSitePK=523679&amp;entityID=000090341_20060823110842&amp;searchMenuPK=64187283&amp;theSitePK=523679"/>
    <hyperlink ref="K45" r:id="rId57" display="http://www-wds.worldbank.org/external/default/main?pagePK=64193027&amp;piPK=64187937&amp;theSitePK=523679&amp;menuPK=64187510&amp;searchMenuPK=64187283&amp;theSitePK=523679&amp;entityID=000020953_20070119103203&amp;searchMenuPK=64187283&amp;theSitePK=523679"/>
    <hyperlink ref="K41" r:id="rId58" display="http://www-wds.worldbank.org/external/default/main?pagePK=64193027&amp;piPK=64187937&amp;theSitePK=523679&amp;menuPK=64187510&amp;searchMenuPK=64187283&amp;theSitePK=523679&amp;entityID=000012009_20060711130435&amp;searchMenuPK=64187283&amp;theSitePK=523679"/>
    <hyperlink ref="K38" r:id="rId59" display="http://www-wds.worldbank.org/external/default/main?pagePK=64193027&amp;piPK=64187937&amp;theSitePK=523679&amp;menuPK=64187510&amp;searchMenuPK=64187283&amp;theSitePK=523679&amp;entityID=000094946_03040204013929&amp;searchMenuPK=64187283&amp;theSitePK=523679"/>
    <hyperlink ref="K37" r:id="rId60" display="http://www-wds.worldbank.org/external/default/main?pagePK=64193027&amp;piPK=64187937&amp;theSitePK=523679&amp;menuPK=64187510&amp;searchMenuPK=64187283&amp;theSitePK=523679&amp;entityID=000090341_20070315104526&amp;searchMenuPK=64187283&amp;theSitePK=523679"/>
    <hyperlink ref="K35" r:id="rId61" display="http://www-wds.worldbank.org/external/default/main?pagePK=64193027&amp;piPK=64187937&amp;theSitePK=523679&amp;menuPK=64187510&amp;searchMenuPK=64187283&amp;theSitePK=523679&amp;entityID=000012009_20040203102947&amp;searchMenuPK=64187283&amp;theSitePK=523679"/>
    <hyperlink ref="K33" r:id="rId62" display="http://www-wds.worldbank.org/external/default/main?pagePK=64193027&amp;piPK=64187937&amp;theSitePK=523679&amp;menuPK=64187510&amp;searchMenuPK=64187283&amp;theSitePK=523679&amp;entityID=000012009_20050713091826&amp;searchMenuPK=64187283&amp;theSitePK=523679"/>
    <hyperlink ref="K32" r:id="rId63" display="http://www-wds.worldbank.org/external/default/main?menuPK=64187510&amp;pagePK=64193027&amp;piPK=64187937&amp;theSitePK=523679&amp;menuPK=64154159&amp;searchMenuPK=64258544&amp;theSitePK=523679&amp;entityID=000012009_20041124092314&amp;searchMenuPK=64258544&amp;theSitePK=523679"/>
    <hyperlink ref="K23" r:id="rId64" display="http://www-wds.worldbank.org/external/default/WDSContentServer/WDSP/IB/2007/03/20/000020953_20070320142753/Rendered/PDF/364530v2.pdf"/>
    <hyperlink ref="K16" r:id="rId65" display="http://www.iadb.org/sds/doc/APECreport.pdf"/>
    <hyperlink ref="K15" r:id="rId66" display="http://www-wds.worldbank.org/external/default/main?pagePK=64193027&amp;piPK=64187937&amp;theSitePK=523679&amp;menuPK=64187510&amp;searchMenuPK=64187283&amp;theSitePK=523679&amp;entityID=000020953_20070827113556&amp;searchMenuPK=64187283&amp;theSitePK=523679"/>
    <hyperlink ref="K10" r:id="rId67" display="http://www-wds.worldbank.org/external/default/main?pagePK=64193027&amp;piPK=64187937&amp;theSitePK=523679&amp;menuPK=64187510&amp;searchMenuPK=64187283&amp;theSitePK=523679&amp;entityID=000090341_20060428082015&amp;searchMenuPK=64187283&amp;theSitePK=523679"/>
    <hyperlink ref="K9" r:id="rId68" display="http://www-wds.worldbank.org/external/default/main?menuPK=64187510&amp;pagePK=64193027&amp;piPK=64187937&amp;theSitePK=523679&amp;menuPK=64154159&amp;searchMenuPK=64258544&amp;theSitePK=523679&amp;entityID=000090341_20040722093405&amp;searchMenuPK=64258544&amp;theSitePK=523679"/>
    <hyperlink ref="K5" r:id="rId69" display="http://www-wds.worldbank.org/external/default/main?pagePK=64193027&amp;piPK=64187937&amp;theSitePK=523679&amp;menuPK=64187510&amp;searchMenuPK=64187283&amp;theSitePK=523679&amp;entityID=000012009_20050629092219&amp;searchMenuPK=64187283&amp;theSitePK=523679"/>
    <hyperlink ref="K4" r:id="rId70" display="http://www-wds.worldbank.org/external/default/main?pagePK=64193027&amp;piPK=64187937&amp;theSitePK=523679&amp;menuPK=64187510&amp;searchMenuPK=64187283&amp;theSitePK=523679&amp;entityID=000012009_20050421093233&amp;searchMenuPK=64187283&amp;theSitePK=523679"/>
    <hyperlink ref="K3" r:id="rId71" display="http://www-wds.worldbank.org/external/default/main?pagePK=64193027&amp;piPK=64187937&amp;theSitePK=523679&amp;menuPK=64187510&amp;searchMenuPK=64187283&amp;theSitePK=523679&amp;entityID=000012009_20050111085004&amp;searchMenuPK=64187283&amp;theSitePK=523679"/>
    <hyperlink ref="K44" r:id="rId72" display="http://www-wds.worldbank.org/external/default/main?pagePK=64193027&amp;piPK=64187937&amp;theSitePK=523679&amp;menuPK=64187510&amp;searchMenuPK=64187283&amp;theSitePK=523679&amp;entityID=000094946_00080105305244&amp;searchMenuPK=64187283&amp;theSitePK=523679"/>
  </hyperlinks>
  <printOptions/>
  <pageMargins left="0.787401575" right="0.787401575" top="0.75" bottom="0.75" header="0.5" footer="0.5"/>
  <pageSetup horizontalDpi="600" verticalDpi="600" orientation="landscape" scale="67" r:id="rId75"/>
  <headerFooter alignWithMargins="0">
    <oddHeader>&amp;L&amp;D&amp;RDRAFT - NOT FOR QUOTATION</oddHeader>
    <oddFooter>&amp;CPlease provide comments and revised or additional data and reports to Christine Weigand (cweigand@worldbank.org). Thank you.</oddFooter>
  </headerFooter>
  <colBreaks count="1" manualBreakCount="1">
    <brk id="10" max="74" man="1"/>
  </colBreaks>
  <legacyDrawing r:id="rId74"/>
</worksheet>
</file>

<file path=xl/worksheets/sheet4.xml><?xml version="1.0" encoding="utf-8"?>
<worksheet xmlns="http://schemas.openxmlformats.org/spreadsheetml/2006/main" xmlns:r="http://schemas.openxmlformats.org/officeDocument/2006/relationships">
  <sheetPr>
    <tabColor indexed="41"/>
  </sheetPr>
  <dimension ref="A1:M88"/>
  <sheetViews>
    <sheetView zoomScale="75" zoomScaleNormal="75" zoomScalePageLayoutView="0" workbookViewId="0" topLeftCell="A1">
      <pane xSplit="2" ySplit="1" topLeftCell="C50" activePane="bottomRight" state="frozen"/>
      <selection pane="topLeft" activeCell="F63" sqref="F63"/>
      <selection pane="topRight" activeCell="F63" sqref="F63"/>
      <selection pane="bottomLeft" activeCell="F63" sqref="F63"/>
      <selection pane="bottomRight" activeCell="D27" sqref="D27"/>
    </sheetView>
  </sheetViews>
  <sheetFormatPr defaultColWidth="9.140625" defaultRowHeight="12.75" outlineLevelCol="1"/>
  <cols>
    <col min="1" max="1" width="9.140625" style="0" customWidth="1" outlineLevel="1"/>
    <col min="2" max="2" width="19.8515625" style="0" customWidth="1"/>
    <col min="3" max="6" width="13.7109375" style="0" bestFit="1" customWidth="1"/>
    <col min="7" max="7" width="9.00390625" style="0" customWidth="1"/>
    <col min="8" max="16384" width="9.140625" style="44" customWidth="1"/>
  </cols>
  <sheetData>
    <row r="1" spans="1:13" ht="63.75">
      <c r="A1" t="s">
        <v>368</v>
      </c>
      <c r="B1" s="1" t="s">
        <v>258</v>
      </c>
      <c r="C1" s="2" t="s">
        <v>183</v>
      </c>
      <c r="D1" s="2" t="s">
        <v>184</v>
      </c>
      <c r="E1" s="2" t="s">
        <v>185</v>
      </c>
      <c r="F1" s="2" t="s">
        <v>545</v>
      </c>
      <c r="G1" s="2" t="s">
        <v>186</v>
      </c>
      <c r="H1" s="43" t="s">
        <v>187</v>
      </c>
      <c r="I1" s="43" t="s">
        <v>188</v>
      </c>
      <c r="J1" s="43" t="s">
        <v>174</v>
      </c>
      <c r="K1" s="43" t="s">
        <v>189</v>
      </c>
      <c r="L1" s="43" t="s">
        <v>190</v>
      </c>
      <c r="M1" s="43" t="s">
        <v>191</v>
      </c>
    </row>
    <row r="2" spans="1:13" ht="12.75">
      <c r="A2" t="s">
        <v>369</v>
      </c>
      <c r="B2" s="3" t="s">
        <v>133</v>
      </c>
      <c r="C2" s="97">
        <f>VLOOKUP($B2,Descriptive!$B$3:$K$94,2,0)</f>
        <v>0.9</v>
      </c>
      <c r="D2" s="97" t="str">
        <f>VLOOKUP($B2,Descriptive!$B$3:$K$94,3,0)</f>
        <v>NA</v>
      </c>
      <c r="E2" s="97" t="str">
        <f>VLOOKUP($B2,Descriptive!$B$3:$K$94,4,0)</f>
        <v>NA</v>
      </c>
      <c r="F2" s="97" t="str">
        <f>VLOOKUP($B2,Descriptive!$B$3:$K$94,5,0)</f>
        <v>NA</v>
      </c>
      <c r="G2" s="98">
        <f>VLOOKUP($B2,Descriptive!$B$3:$K$94,6,0)</f>
        <v>2003</v>
      </c>
      <c r="H2" s="64">
        <f>VLOOKUP(B2&amp;"_"&amp;"Public spending on education, total (% of GDP)",'Country Stats sectors'!$A$2:$P$1393,12,0)</f>
        <v>3.12592636297537</v>
      </c>
      <c r="I2" s="64">
        <f>VLOOKUP(B2&amp;"_"&amp;"Health expenditure, public (% of GDP)",'Country Stats sectors'!$A$2:$P$1393,13,0)</f>
        <v>2.2034</v>
      </c>
      <c r="J2" s="66" t="str">
        <f aca="true" t="shared" si="0" ref="J2:J33">IF(ISERROR($E2+$H2+$I2),"NA",$E2+H$2+I$2)</f>
        <v>NA</v>
      </c>
      <c r="K2" s="64">
        <f>VLOOKUP($B2&amp;"_"&amp;"General government final consumption expenditure (% of GDP)",'Country Stats Govt'!$A$2:$P$181,13,0)</f>
        <v>13.2936792373657</v>
      </c>
      <c r="L2" s="65">
        <f>VLOOKUP($B2&amp;"_"&amp;"GDP per capita, PPP (current international $)",'Country Stats sectors'!$A$2:$P$1393,13,0)</f>
        <v>1073.71142895368</v>
      </c>
      <c r="M2" s="65">
        <f>VLOOKUP($B2&amp;"_"&amp;"GINI index",'Country Stats sectors'!$A$2:$P$1393,13,0)</f>
        <v>36.47779</v>
      </c>
    </row>
    <row r="3" spans="1:13" ht="12.75">
      <c r="A3" t="s">
        <v>564</v>
      </c>
      <c r="B3" s="3" t="s">
        <v>373</v>
      </c>
      <c r="C3" s="97" t="str">
        <f>VLOOKUP($B3,Descriptive!$B$3:$K$94,2,0)</f>
        <v>NA</v>
      </c>
      <c r="D3" s="97" t="str">
        <f>VLOOKUP($B3,Descriptive!$B$3:$K$94,3,0)</f>
        <v>NA</v>
      </c>
      <c r="E3" s="97">
        <f>VLOOKUP($B3,Descriptive!$B$3:$K$94,4,0)</f>
        <v>2.7</v>
      </c>
      <c r="F3" s="97" t="str">
        <f>VLOOKUP($B3,Descriptive!$B$3:$K$94,5,0)</f>
        <v>NA</v>
      </c>
      <c r="G3" s="98">
        <f>VLOOKUP($B3,Descriptive!$B$3:$K$94,6,0)</f>
        <v>1996</v>
      </c>
      <c r="H3" s="64">
        <f>VLOOKUP(B3&amp;"_"&amp;"Public spending on education, total (% of GDP)",'Country Stats sectors'!$A$2:$P$1393,15,0)</f>
        <v>10.658871796071</v>
      </c>
      <c r="I3" s="64">
        <f>VLOOKUP(B3&amp;"_"&amp;"Health expenditure, public (% of GDP)",'Country Stats sectors'!$A$2:$P$1393,10,0)</f>
        <v>2.1</v>
      </c>
      <c r="J3" s="66">
        <f t="shared" si="0"/>
        <v>8.02932636297537</v>
      </c>
      <c r="K3" s="64">
        <f>VLOOKUP($B3&amp;"_"&amp;"General government final consumption expenditure (% of GDP)",'Country Stats Govt'!$A$2:$P$181,6,0)</f>
        <v>27.3186149597168</v>
      </c>
      <c r="L3" s="65">
        <f>VLOOKUP($B3&amp;"_"&amp;"GDP per capita, PPP (current international $)",'Country Stats sectors'!$A$2:$P$1393,6,0)</f>
        <v>5894.99989617425</v>
      </c>
      <c r="M3" s="65" t="str">
        <f>VLOOKUP($B3&amp;"_"&amp;"GINI index",'Country Stats sectors'!$A$2:$P$1393,6,0)</f>
        <v>NA</v>
      </c>
    </row>
    <row r="4" spans="1:13" ht="12.75">
      <c r="A4" t="s">
        <v>564</v>
      </c>
      <c r="B4" s="3" t="s">
        <v>136</v>
      </c>
      <c r="C4" s="97">
        <f>VLOOKUP($B4,Descriptive!$B$3:$K$94,2,0)</f>
        <v>0.1</v>
      </c>
      <c r="D4" s="97" t="str">
        <f>VLOOKUP($B4,Descriptive!$B$3:$K$94,3,0)</f>
        <v>NA</v>
      </c>
      <c r="E4" s="97" t="str">
        <f>VLOOKUP($B4,Descriptive!$B$3:$K$94,4,0)</f>
        <v>NA</v>
      </c>
      <c r="F4" s="97" t="str">
        <f>VLOOKUP($B4,Descriptive!$B$3:$K$94,5,0)</f>
        <v>NA</v>
      </c>
      <c r="G4" s="98">
        <f>VLOOKUP($B4,Descriptive!$B$3:$K$94,6,0)</f>
        <v>2002</v>
      </c>
      <c r="H4" s="64">
        <f>VLOOKUP(B4&amp;"_"&amp;"Public spending on education, total (% of GDP)",'Country Stats sectors'!$A$2:$P$1393,15,0)</f>
        <v>4.68246750501788</v>
      </c>
      <c r="I4" s="64">
        <f>VLOOKUP(B4&amp;"_"&amp;"Health expenditure, public (% of GDP)",'Country Stats sectors'!$A$2:$P$1393,12,0)</f>
        <v>2.3154</v>
      </c>
      <c r="J4" s="66" t="str">
        <f t="shared" si="0"/>
        <v>NA</v>
      </c>
      <c r="K4" s="64">
        <f>VLOOKUP($B4&amp;"_"&amp;"General government final consumption expenditure (% of GDP)",'Country Stats Govt'!$A$2:$P$181,12,0)</f>
        <v>13.1407051086426</v>
      </c>
      <c r="L4" s="65">
        <f>VLOOKUP($B4&amp;"_"&amp;"GDP per capita, PPP (current international $)",'Country Stats sectors'!$A$2:$P$1393,12,0)</f>
        <v>1067.13882121474</v>
      </c>
      <c r="M4" s="65">
        <f>VLOOKUP($B4&amp;"_"&amp;"GINI index",'Country Stats sectors'!$A$2:$P$1393,13,0)</f>
        <v>39.51</v>
      </c>
    </row>
    <row r="5" spans="1:13" ht="12.75">
      <c r="A5" t="s">
        <v>564</v>
      </c>
      <c r="B5" s="3" t="s">
        <v>274</v>
      </c>
      <c r="C5" s="97" t="str">
        <f>VLOOKUP($B5,Descriptive!$B$3:$K$94,2,0)</f>
        <v>NA</v>
      </c>
      <c r="D5" s="97">
        <f>VLOOKUP($B5,Descriptive!$B$3:$K$94,3,0)</f>
        <v>4.5</v>
      </c>
      <c r="E5" s="97" t="str">
        <f>VLOOKUP($B5,Descriptive!$B$3:$K$94,4,0)</f>
        <v>NA</v>
      </c>
      <c r="F5" s="97" t="str">
        <f>VLOOKUP($B5,Descriptive!$B$3:$K$94,5,0)</f>
        <v>NA</v>
      </c>
      <c r="G5" s="99">
        <v>2001</v>
      </c>
      <c r="H5" s="64">
        <f>VLOOKUP(B5&amp;"_"&amp;"Public spending on education, total (% of GDP)",'Country Stats sectors'!$A$2:$P$1393,11,0)</f>
        <v>3.88757756344152</v>
      </c>
      <c r="I5" s="64">
        <f>VLOOKUP(B5&amp;"_"&amp;"Health expenditure, public (% of GDP)",'Country Stats sectors'!$A$2:$P$1393,11,0)</f>
        <v>2.8985</v>
      </c>
      <c r="J5" s="66" t="str">
        <f t="shared" si="0"/>
        <v>NA</v>
      </c>
      <c r="K5" s="64">
        <f>VLOOKUP($B5&amp;"_"&amp;"General government final consumption expenditure (% of GDP)",'Country Stats Govt'!$A$2:$P$181,11,0)</f>
        <v>15.1685266494751</v>
      </c>
      <c r="L5" s="65">
        <f>VLOOKUP($B5&amp;"_"&amp;"GDP per capita, PPP (current international $)",'Country Stats sectors'!$A$2:$P$1393,11,0)</f>
        <v>878.640604675278</v>
      </c>
      <c r="M5" s="65">
        <f>VLOOKUP($B5&amp;"_"&amp;"GINI index",'Country Stats sectors'!$A$2:$P$1393,10,0)</f>
        <v>29.9709</v>
      </c>
    </row>
    <row r="6" spans="1:13" ht="12.75">
      <c r="A6" t="s">
        <v>564</v>
      </c>
      <c r="B6" s="3" t="s">
        <v>194</v>
      </c>
      <c r="C6" s="97">
        <f>VLOOKUP($B6,Descriptive!$B$3:$K$94,2,0)</f>
        <v>1.2</v>
      </c>
      <c r="D6" s="97">
        <f>VLOOKUP($B6,Descriptive!$B$3:$K$94,3,0)</f>
        <v>0.9</v>
      </c>
      <c r="E6" s="97">
        <f>VLOOKUP($B6,Descriptive!$B$3:$K$94,4,0)</f>
        <v>2.1</v>
      </c>
      <c r="F6" s="97">
        <f>VLOOKUP($B6,Descriptive!$B$3:$K$94,5,0)</f>
        <v>42.857142857142854</v>
      </c>
      <c r="G6" s="98">
        <f>VLOOKUP($B6,Descriptive!$B$3:$K$94,6,0)</f>
        <v>2002</v>
      </c>
      <c r="H6" s="64">
        <f>VLOOKUP(B6&amp;"_"&amp;"Public spending on education, total (% of GDP)",'Country Stats sectors'!$A$2:$P$1393,11,0)</f>
        <v>2.85048804766478</v>
      </c>
      <c r="I6" s="64">
        <f>VLOOKUP(B6&amp;"_"&amp;"Health expenditure, public (% of GDP)",'Country Stats sectors'!$A$2:$P$1393,12,0)</f>
        <v>2.728</v>
      </c>
      <c r="J6" s="66">
        <f t="shared" si="0"/>
        <v>7.42932636297537</v>
      </c>
      <c r="K6" s="64">
        <f>VLOOKUP($B6&amp;"_"&amp;"General government final consumption expenditure (% of GDP)",'Country Stats Govt'!$A$2:$P$181,12,0)</f>
        <v>8.13525772094727</v>
      </c>
      <c r="L6" s="65">
        <f>VLOOKUP($B6&amp;"_"&amp;"GDP per capita, PPP (current international $)",'Country Stats sectors'!$A$2:$P$1393,12,0)</f>
        <v>768.760678879054</v>
      </c>
      <c r="M6" s="65">
        <f>VLOOKUP($B6&amp;"_"&amp;"GINI index",'Country Stats sectors'!$A$2:$P$1393,11,0)</f>
        <v>47.45</v>
      </c>
    </row>
    <row r="7" spans="1:13" ht="12.75">
      <c r="A7" t="s">
        <v>564</v>
      </c>
      <c r="B7" s="48" t="s">
        <v>192</v>
      </c>
      <c r="C7" s="97">
        <f>VLOOKUP($B7,Descriptive!$B$3:$K$94,2,0)</f>
        <v>1.66</v>
      </c>
      <c r="D7" s="97">
        <f>VLOOKUP($B7,Descriptive!$B$3:$K$94,3,0)</f>
        <v>4.4</v>
      </c>
      <c r="E7" s="97">
        <f>VLOOKUP($B7,Descriptive!$B$3:$K$94,4,0)</f>
        <v>6.1</v>
      </c>
      <c r="F7" s="97">
        <f>VLOOKUP($B7,Descriptive!$B$3:$K$94,5,0)</f>
        <v>72.13114754098362</v>
      </c>
      <c r="G7" s="99">
        <v>1999</v>
      </c>
      <c r="H7" s="64">
        <f>VLOOKUP(B7&amp;"_"&amp;"Public spending on education, total (% of GDP)",'Country Stats sectors'!$A$2:$P$1393,9,0)</f>
        <v>4.55265504738021</v>
      </c>
      <c r="I7" s="64">
        <f>VLOOKUP(B7&amp;"_"&amp;"Health expenditure, public (% of GDP)",'Country Stats sectors'!$A$2:$P$1393,10,0)</f>
        <v>2.6779</v>
      </c>
      <c r="J7" s="66">
        <f t="shared" si="0"/>
        <v>11.42932636297537</v>
      </c>
      <c r="K7" s="64">
        <f>VLOOKUP($B7&amp;"_"&amp;"General government final consumption expenditure (% of GDP)",'Country Stats Govt'!$A$2:$P$181,9,0)</f>
        <v>13.445990562439</v>
      </c>
      <c r="L7" s="65">
        <f>VLOOKUP($B7&amp;"_"&amp;"GDP per capita, PPP (current international $)",'Country Stats sectors'!$A$2:$P$1393,9,0)</f>
        <v>577.156151521158</v>
      </c>
      <c r="M7" s="65">
        <f>VLOOKUP($B7&amp;"_"&amp;"GINI index",'Country Stats sectors'!$A$2:$P$1393,14,0)</f>
        <v>39</v>
      </c>
    </row>
    <row r="8" spans="1:13" ht="12.75">
      <c r="A8" t="s">
        <v>564</v>
      </c>
      <c r="B8" s="3" t="s">
        <v>179</v>
      </c>
      <c r="C8" s="97">
        <f>VLOOKUP($B8,Descriptive!$B$3:$K$94,2,0)</f>
        <v>4.2</v>
      </c>
      <c r="D8" s="97">
        <f>VLOOKUP($B8,Descriptive!$B$3:$K$94,3,0)</f>
        <v>5.3</v>
      </c>
      <c r="E8" s="97">
        <f>VLOOKUP($B8,Descriptive!$B$3:$K$94,4,0)</f>
        <v>9.5</v>
      </c>
      <c r="F8" s="97">
        <f>VLOOKUP($B8,Descriptive!$B$3:$K$94,5,0)</f>
        <v>55.78947368421052</v>
      </c>
      <c r="G8" s="99">
        <v>2001</v>
      </c>
      <c r="H8" s="64">
        <f>VLOOKUP(B8&amp;"_"&amp;"Public spending on education, total (% of GDP)",'Country Stats sectors'!$A$2:$P$1393,11,0)</f>
        <v>3.34733440191417</v>
      </c>
      <c r="I8" s="64">
        <f>VLOOKUP(B8&amp;"_"&amp;"Health expenditure, public (% of GDP)",'Country Stats sectors'!$A$2:$P$1393,11,0)</f>
        <v>2.0482</v>
      </c>
      <c r="J8" s="66">
        <f t="shared" si="0"/>
        <v>14.82932636297537</v>
      </c>
      <c r="K8" s="64">
        <f>VLOOKUP($B8&amp;"_"&amp;"General government final consumption expenditure (% of GDP)",'Country Stats Govt'!$A$2:$P$181,11,0)</f>
        <v>12.9108800888062</v>
      </c>
      <c r="L8" s="65">
        <f>VLOOKUP($B8&amp;"_"&amp;"GDP per capita, PPP (current international $)",'Country Stats sectors'!$A$2:$P$1393,11,0)</f>
        <v>10347.9246536883</v>
      </c>
      <c r="M8" s="65" t="str">
        <f>VLOOKUP($B8&amp;"_"&amp;"GINI index",'Country Stats sectors'!$A$2:$P$1393,11,0)</f>
        <v>NA</v>
      </c>
    </row>
    <row r="9" spans="1:13" ht="12.75">
      <c r="A9" t="s">
        <v>564</v>
      </c>
      <c r="B9" s="3" t="s">
        <v>138</v>
      </c>
      <c r="C9" s="97">
        <f>VLOOKUP($B9,Descriptive!$B$3:$K$94,2,0)</f>
        <v>0.85</v>
      </c>
      <c r="D9" s="97">
        <f>VLOOKUP($B9,Descriptive!$B$3:$K$94,3,0)</f>
        <v>0.15</v>
      </c>
      <c r="E9" s="97">
        <f>VLOOKUP($B9,Descriptive!$B$3:$K$94,4,0)</f>
        <v>1</v>
      </c>
      <c r="F9" s="97">
        <f>VLOOKUP($B9,Descriptive!$B$3:$K$94,5,0)</f>
        <v>15</v>
      </c>
      <c r="G9" s="98">
        <f>VLOOKUP($B9,Descriptive!$B$3:$K$94,6,0)</f>
        <v>2004</v>
      </c>
      <c r="H9" s="64">
        <f>VLOOKUP(B9&amp;"_"&amp;"Public spending on education, total (% of GDP)",'Country Stats sectors'!$A$2:$P$1393,14,0)</f>
        <v>4.0591758026775</v>
      </c>
      <c r="I9" s="64">
        <f>VLOOKUP(B9&amp;"_"&amp;"Health expenditure, public (% of GDP)",'Country Stats sectors'!$A$2:$P$1393,14,0)</f>
        <v>2.3777</v>
      </c>
      <c r="J9" s="66">
        <f t="shared" si="0"/>
        <v>6.329326362975371</v>
      </c>
      <c r="K9" s="64">
        <f>VLOOKUP($B9&amp;"_"&amp;"General government final consumption expenditure (% of GDP)",'Country Stats Govt'!$A$2:$P$181,14,0)</f>
        <v>13.8695440292358</v>
      </c>
      <c r="L9" s="65">
        <f>VLOOKUP($B9&amp;"_"&amp;"GDP per capita, PPP (current international $)",'Country Stats sectors'!$A$2:$P$1393,14,0)</f>
        <v>1677.53203852015</v>
      </c>
      <c r="M9" s="65">
        <f>VLOOKUP($B9&amp;"_"&amp;"GINI index",'Country Stats sectors'!$A$2:$P$1393,11,0)</f>
        <v>41.25</v>
      </c>
    </row>
    <row r="10" spans="1:13" ht="12.75">
      <c r="A10" t="s">
        <v>564</v>
      </c>
      <c r="B10" s="63" t="s">
        <v>177</v>
      </c>
      <c r="C10" s="97" t="str">
        <f>VLOOKUP($B10,Descriptive!$B$3:$K$94,2,0)</f>
        <v>NA</v>
      </c>
      <c r="D10" s="97">
        <f>VLOOKUP($B10,Descriptive!$B$3:$K$94,3,0)</f>
        <v>3.2</v>
      </c>
      <c r="E10" s="97" t="str">
        <f>VLOOKUP($B10,Descriptive!$B$3:$K$94,4,0)</f>
        <v>NA</v>
      </c>
      <c r="F10" s="97" t="str">
        <f>VLOOKUP($B10,Descriptive!$B$3:$K$94,5,0)</f>
        <v>NA</v>
      </c>
      <c r="G10" s="99">
        <v>2002</v>
      </c>
      <c r="H10" s="64">
        <f>VLOOKUP(B10&amp;"_"&amp;"Public spending on education, total (% of GDP)",'Country Stats sectors'!$A$2:$P$1393,12,0)</f>
        <v>5.19604265716902</v>
      </c>
      <c r="I10" s="64">
        <f>VLOOKUP(B10&amp;"_"&amp;"Health expenditure, public (% of GDP)",'Country Stats sectors'!$A$2:$P$1393,12,0)</f>
        <v>3.3698</v>
      </c>
      <c r="J10" s="66" t="str">
        <f t="shared" si="0"/>
        <v>NA</v>
      </c>
      <c r="K10" s="64">
        <f>VLOOKUP($B10&amp;"_"&amp;"General government final consumption expenditure (% of GDP)",'Country Stats Govt'!$A$2:$P$181,12,0)</f>
        <v>18.4210338592529</v>
      </c>
      <c r="L10" s="65">
        <f>VLOOKUP($B10&amp;"_"&amp;"GDP per capita, PPP (current international $)",'Country Stats sectors'!$A$2:$P$1393,12,0)</f>
        <v>9444.74845690803</v>
      </c>
      <c r="M10" s="65">
        <f>VLOOKUP($B10&amp;"_"&amp;"GINI index",'Country Stats sectors'!$A$2:$P$1393,10,0)</f>
        <v>57.78</v>
      </c>
    </row>
    <row r="11" spans="1:13" ht="12.75">
      <c r="A11" t="s">
        <v>563</v>
      </c>
      <c r="B11" s="14" t="s">
        <v>226</v>
      </c>
      <c r="C11" s="97" t="str">
        <f>VLOOKUP($B11,Descriptive!$B$3:$K$94,2,0)</f>
        <v>NA</v>
      </c>
      <c r="D11" s="97" t="str">
        <f>VLOOKUP($B11,Descriptive!$B$3:$K$94,3,0)</f>
        <v>NA</v>
      </c>
      <c r="E11" s="97">
        <f>VLOOKUP($B11,Descriptive!$B$3:$K$94,4,0)</f>
        <v>0.7</v>
      </c>
      <c r="F11" s="97" t="str">
        <f>VLOOKUP($B11,Descriptive!$B$3:$K$94,5,0)</f>
        <v>NA</v>
      </c>
      <c r="G11" s="98">
        <f>VLOOKUP($B11,Descriptive!$B$3:$K$94,6,0)</f>
        <v>2002</v>
      </c>
      <c r="H11" s="64">
        <f>VLOOKUP(B11&amp;"_"&amp;"Public spending on education, total (% of GDP)",'Country Stats sectors'!$A$2:$P$1393,12,0)</f>
        <v>1.7953801179456</v>
      </c>
      <c r="I11" s="64">
        <f>VLOOKUP(B11&amp;"_"&amp;"Health expenditure, public (% of GDP)",'Country Stats sectors'!$A$2:$P$1393,12,0)</f>
        <v>1.9951</v>
      </c>
      <c r="J11" s="66">
        <f t="shared" si="0"/>
        <v>6.02932636297537</v>
      </c>
      <c r="K11" s="64">
        <f>VLOOKUP($B11&amp;"_"&amp;"General government final consumption expenditure (% of GDP)",'Country Stats Govt'!$A$2:$P$181,12,0)</f>
        <v>5.44608783721924</v>
      </c>
      <c r="L11" s="65">
        <f>VLOOKUP($B11&amp;"_"&amp;"GDP per capita, PPP (current international $)",'Country Stats sectors'!$A$2:$P$1393,12,0)</f>
        <v>1980.09121015644</v>
      </c>
      <c r="M11" s="65">
        <f>VLOOKUP($B11&amp;"_"&amp;"GINI index",'Country Stats sectors'!$A$2:$P$1393,14,0)</f>
        <v>41.71</v>
      </c>
    </row>
    <row r="12" spans="1:13" ht="12.75">
      <c r="A12" t="s">
        <v>563</v>
      </c>
      <c r="B12" s="14" t="s">
        <v>459</v>
      </c>
      <c r="C12" s="97">
        <f>VLOOKUP($B12,Descriptive!$B$3:$K$94,2,0)</f>
        <v>1.64</v>
      </c>
      <c r="D12" s="97">
        <f>VLOOKUP($B12,Descriptive!$B$3:$K$94,3,0)</f>
        <v>0.43</v>
      </c>
      <c r="E12" s="97">
        <f>VLOOKUP($B12,Descriptive!$B$3:$K$94,4,0)</f>
        <v>2.07</v>
      </c>
      <c r="F12" s="97">
        <f>VLOOKUP($B12,Descriptive!$B$3:$K$94,5,0)</f>
        <v>20.77294685990338</v>
      </c>
      <c r="G12" s="98">
        <f>VLOOKUP($B12,Descriptive!$B$3:$K$94,6,0)</f>
        <v>2006</v>
      </c>
      <c r="H12" s="64" t="str">
        <f>VLOOKUP(B12&amp;"_"&amp;"Public spending on education, total (% of GDP)",'Country Stats sectors'!$A$2:$P$1393,12,0)</f>
        <v>NA</v>
      </c>
      <c r="I12" s="64">
        <f>VLOOKUP(B12&amp;"_"&amp;"Health expenditure, public (% of GDP)",'Country Stats sectors'!$A$2:$P$1393,14,0)</f>
        <v>1.786</v>
      </c>
      <c r="J12" s="66" t="str">
        <f t="shared" si="0"/>
        <v>NA</v>
      </c>
      <c r="K12" s="64">
        <f>VLOOKUP($B12&amp;"_"&amp;"General government final consumption expenditure (% of GDP)",'Country Stats Govt'!$A$2:$P$181,16,0)</f>
        <v>11.0795001983643</v>
      </c>
      <c r="L12" s="65">
        <f>VLOOKUP($B12&amp;"_"&amp;"GDP per capita, PPP (current international $)",'Country Stats sectors'!$A$2:$P$1393,16,0)</f>
        <v>7659.73778718011</v>
      </c>
      <c r="M12" s="65">
        <f>VLOOKUP($B12&amp;"_"&amp;"GINI index",'Country Stats sectors'!$A$2:$P$1393,14,0)</f>
        <v>46.9</v>
      </c>
    </row>
    <row r="13" spans="1:13" ht="12.75">
      <c r="A13" t="s">
        <v>563</v>
      </c>
      <c r="B13" s="3" t="s">
        <v>227</v>
      </c>
      <c r="C13" s="97" t="str">
        <f>VLOOKUP($B13,Descriptive!$B$3:$K$94,2,0)</f>
        <v>NA</v>
      </c>
      <c r="D13" s="97">
        <f>VLOOKUP($B13,Descriptive!$B$3:$K$94,3,0)</f>
        <v>1.3</v>
      </c>
      <c r="E13" s="97" t="str">
        <f>VLOOKUP($B13,Descriptive!$B$3:$K$94,4,0)</f>
        <v>NA</v>
      </c>
      <c r="F13" s="97" t="str">
        <f>VLOOKUP($B13,Descriptive!$B$3:$K$94,5,0)</f>
        <v>NA</v>
      </c>
      <c r="G13" s="98">
        <f>VLOOKUP($B13,Descriptive!$B$3:$K$94,6,0)</f>
        <v>2006</v>
      </c>
      <c r="H13" s="64">
        <f>VLOOKUP(B13&amp;"_"&amp;"Public spending on education, total (% of GDP)",'Country Stats sectors'!$A$2:$P$1393,13,0)</f>
        <v>0.947662296252266</v>
      </c>
      <c r="I13" s="64">
        <f>VLOOKUP(B13&amp;"_"&amp;"Health expenditure, public (% of GDP)",'Country Stats sectors'!$A$2:$P$1393,14,0)</f>
        <v>0.9576</v>
      </c>
      <c r="J13" s="66" t="str">
        <f t="shared" si="0"/>
        <v>NA</v>
      </c>
      <c r="K13" s="64">
        <f>VLOOKUP($B13&amp;"_"&amp;"General government final consumption expenditure (% of GDP)",'Country Stats Govt'!$A$2:$P$181,16,0)</f>
        <v>7.11333847045898</v>
      </c>
      <c r="L13" s="65">
        <f>VLOOKUP($B13&amp;"_"&amp;"GDP per capita, PPP (current international $)",'Country Stats sectors'!$A$2:$P$1393,16,0)</f>
        <v>4130.35453068402</v>
      </c>
      <c r="M13" s="65">
        <f>VLOOKUP($B13&amp;"_"&amp;"GINI index",'Country Stats sectors'!$A$2:$P$1393,12,0)</f>
        <v>34.3079</v>
      </c>
    </row>
    <row r="14" spans="1:13" ht="12.75">
      <c r="A14" t="s">
        <v>563</v>
      </c>
      <c r="B14" s="3" t="s">
        <v>488</v>
      </c>
      <c r="C14" s="97" t="str">
        <f>VLOOKUP($B14,Descriptive!$B$3:$K$94,2,0)</f>
        <v>NA</v>
      </c>
      <c r="D14" s="97" t="str">
        <f>VLOOKUP($B14,Descriptive!$B$3:$K$94,3,0)</f>
        <v>NA</v>
      </c>
      <c r="E14" s="97">
        <f>VLOOKUP($B14,Descriptive!$B$3:$K$94,4,0)</f>
        <v>1.9</v>
      </c>
      <c r="F14" s="97" t="str">
        <f>VLOOKUP($B14,Descriptive!$B$3:$K$94,5,0)</f>
        <v>NA</v>
      </c>
      <c r="G14" s="99">
        <v>1997</v>
      </c>
      <c r="H14" s="64" t="str">
        <f>VLOOKUP(B14&amp;"_"&amp;"Public spending on education, total (% of GDP)",'Country Stats sectors'!$A$2:$P$1393,7,0)</f>
        <v>NA</v>
      </c>
      <c r="I14" s="64">
        <f>VLOOKUP(B14&amp;"_"&amp;"Health expenditure, public (% of GDP)",'Country Stats sectors'!$A$2:$P$1393,10,0)</f>
        <v>2.2176</v>
      </c>
      <c r="J14" s="66" t="str">
        <f t="shared" si="0"/>
        <v>NA</v>
      </c>
      <c r="K14" s="64">
        <f>VLOOKUP($B14&amp;"_"&amp;"General government final consumption expenditure (% of GDP)",'Country Stats Govt'!$A$2:$P$181,7,0)</f>
        <v>11.554612159729</v>
      </c>
      <c r="L14" s="65">
        <f>VLOOKUP($B14&amp;"_"&amp;"GDP per capita, PPP (current international $)",'Country Stats sectors'!$A$2:$P$1393,7,0)</f>
        <v>14246.6190669912</v>
      </c>
      <c r="M14" s="65" t="str">
        <f>VLOOKUP($B14&amp;"_"&amp;"GINI index",'Country Stats sectors'!$A$2:$P$1393,7,0)</f>
        <v>NA</v>
      </c>
    </row>
    <row r="15" spans="1:13" ht="12.75">
      <c r="A15" t="s">
        <v>563</v>
      </c>
      <c r="B15" s="3" t="s">
        <v>228</v>
      </c>
      <c r="C15" s="97">
        <f>VLOOKUP($B15,Descriptive!$B$3:$K$94,2,0)</f>
        <v>1.4</v>
      </c>
      <c r="D15" s="97" t="str">
        <f>VLOOKUP($B15,Descriptive!$B$3:$K$94,3,0)</f>
        <v>NA</v>
      </c>
      <c r="E15" s="97" t="str">
        <f>VLOOKUP($B15,Descriptive!$B$3:$K$94,4,0)</f>
        <v>NA</v>
      </c>
      <c r="F15" s="97" t="str">
        <f>VLOOKUP($B15,Descriptive!$B$3:$K$94,5,0)</f>
        <v>NA</v>
      </c>
      <c r="G15" s="98">
        <f>VLOOKUP($B15,Descriptive!$B$3:$K$94,6,0)</f>
        <v>1999</v>
      </c>
      <c r="H15" s="64">
        <f>VLOOKUP(B15&amp;"_"&amp;"Public spending on education, total (% of GDP)",'Country Stats sectors'!$A$2:$P$1393,9,0)</f>
        <v>5.686792316072</v>
      </c>
      <c r="I15" s="64">
        <f>VLOOKUP(B15&amp;"_"&amp;"Health expenditure, public (% of GDP)",'Country Stats sectors'!$A$2:$P$1393,10,0)</f>
        <v>1.7292</v>
      </c>
      <c r="J15" s="66" t="str">
        <f t="shared" si="0"/>
        <v>NA</v>
      </c>
      <c r="K15" s="64">
        <f>VLOOKUP($B15&amp;"_"&amp;"General government final consumption expenditure (% of GDP)",'Country Stats Govt'!$A$2:$P$181,9,0)</f>
        <v>10.9866876602173</v>
      </c>
      <c r="L15" s="65">
        <f>VLOOKUP($B15&amp;"_"&amp;"GDP per capita, PPP (current international $)",'Country Stats sectors'!$A$2:$P$1393,9,0)</f>
        <v>7882.95466307575</v>
      </c>
      <c r="M15" s="65">
        <f>VLOOKUP($B15&amp;"_"&amp;"GINI index",'Country Stats sectors'!$A$2:$P$1393,7,0)</f>
        <v>49.15</v>
      </c>
    </row>
    <row r="16" spans="1:13" ht="12.75">
      <c r="A16" t="s">
        <v>563</v>
      </c>
      <c r="B16" s="3" t="s">
        <v>229</v>
      </c>
      <c r="C16" s="97">
        <f>VLOOKUP($B16,Descriptive!$B$3:$K$94,2,0)</f>
        <v>5.9495</v>
      </c>
      <c r="D16" s="97">
        <f>VLOOKUP($B16,Descriptive!$B$3:$K$94,3,0)</f>
        <v>1.3505000000000003</v>
      </c>
      <c r="E16" s="97">
        <f>VLOOKUP($B16,Descriptive!$B$3:$K$94,4,0)</f>
        <v>7.3</v>
      </c>
      <c r="F16" s="97">
        <f>VLOOKUP($B16,Descriptive!$B$3:$K$94,5,0)</f>
        <v>18.5</v>
      </c>
      <c r="G16" s="98">
        <f>VLOOKUP($B16,Descriptive!$B$3:$K$94,6,0)</f>
        <v>2000</v>
      </c>
      <c r="H16" s="64">
        <f>VLOOKUP(B16&amp;"_"&amp;"Public spending on education, total (% of GDP)",'Country Stats sectors'!$A$2:$P$1393,10,0)</f>
        <v>6.66807192025216</v>
      </c>
      <c r="I16" s="64">
        <f>VLOOKUP(B16&amp;"_"&amp;"Health expenditure, public (% of GDP)",'Country Stats sectors'!$A$2:$P$1393,10,0)</f>
        <v>5.9013</v>
      </c>
      <c r="J16" s="66">
        <f t="shared" si="0"/>
        <v>12.62932636297537</v>
      </c>
      <c r="K16" s="64">
        <f>VLOOKUP($B16&amp;"_"&amp;"General government final consumption expenditure (% of GDP)",'Country Stats Govt'!$A$2:$P$181,10,0)</f>
        <v>18.0778713226318</v>
      </c>
      <c r="L16" s="65">
        <f>VLOOKUP($B16&amp;"_"&amp;"GDP per capita, PPP (current international $)",'Country Stats sectors'!$A$2:$P$1393,10,0)</f>
        <v>1522.80648006525</v>
      </c>
      <c r="M16" s="65">
        <f>VLOOKUP($B16&amp;"_"&amp;"GINI index",'Country Stats sectors'!$A$2:$P$1393,12,0)</f>
        <v>32.8</v>
      </c>
    </row>
    <row r="17" spans="1:13" ht="12.75">
      <c r="A17" t="s">
        <v>563</v>
      </c>
      <c r="B17" s="14" t="s">
        <v>230</v>
      </c>
      <c r="C17" s="97" t="str">
        <f>VLOOKUP($B17,Descriptive!$B$3:$K$94,2,0)</f>
        <v>NA</v>
      </c>
      <c r="D17" s="97">
        <f>VLOOKUP($B17,Descriptive!$B$3:$K$94,3,0)</f>
        <v>0.22</v>
      </c>
      <c r="E17" s="97" t="str">
        <f>VLOOKUP($B17,Descriptive!$B$3:$K$94,4,0)</f>
        <v>NA</v>
      </c>
      <c r="F17" s="97" t="str">
        <f>VLOOKUP($B17,Descriptive!$B$3:$K$94,5,0)</f>
        <v>NA</v>
      </c>
      <c r="G17" s="98">
        <f>VLOOKUP($B17,Descriptive!$B$3:$K$94,6,0)</f>
        <v>2005</v>
      </c>
      <c r="H17" s="64">
        <f>VLOOKUP(B17&amp;"_"&amp;"Public spending on education, total (% of GDP)",'Country Stats sectors'!$A$2:$P$1393,14,0)</f>
        <v>2.72444668921568</v>
      </c>
      <c r="I17" s="64">
        <f>VLOOKUP(B17&amp;"_"&amp;"Health expenditure, public (% of GDP)",'Country Stats sectors'!$A$2:$P$1393,14,0)</f>
        <v>1.3532</v>
      </c>
      <c r="J17" s="66" t="str">
        <f t="shared" si="0"/>
        <v>NA</v>
      </c>
      <c r="K17" s="64">
        <f>VLOOKUP($B17&amp;"_"&amp;"General government final consumption expenditure (% of GDP)",'Country Stats Govt'!$A$2:$P$181,15,0)</f>
        <v>9.70115375518799</v>
      </c>
      <c r="L17" s="65">
        <f>VLOOKUP($B17&amp;"_"&amp;"GDP per capita, PPP (current international $)",'Country Stats sectors'!$A$2:$P$1393,15,0)</f>
        <v>5139.62697062609</v>
      </c>
      <c r="M17" s="65">
        <f>VLOOKUP($B17&amp;"_"&amp;"GINI index",'Country Stats sectors'!$A$2:$P$1393,13,0)</f>
        <v>44.53</v>
      </c>
    </row>
    <row r="18" spans="1:13" ht="12.75">
      <c r="A18" t="s">
        <v>563</v>
      </c>
      <c r="B18" s="3" t="s">
        <v>231</v>
      </c>
      <c r="C18" s="97" t="str">
        <f>VLOOKUP($B18,Descriptive!$B$3:$K$94,2,0)</f>
        <v>NA</v>
      </c>
      <c r="D18" s="97" t="str">
        <f>VLOOKUP($B18,Descriptive!$B$3:$K$94,3,0)</f>
        <v>NA</v>
      </c>
      <c r="E18" s="97">
        <f>VLOOKUP($B18,Descriptive!$B$3:$K$94,4,0)</f>
        <v>0.6</v>
      </c>
      <c r="F18" s="97" t="str">
        <f>VLOOKUP($B18,Descriptive!$B$3:$K$94,5,0)</f>
        <v>NA</v>
      </c>
      <c r="G18" s="98">
        <f>VLOOKUP($B18,Descriptive!$B$3:$K$94,6,0)</f>
        <v>2001</v>
      </c>
      <c r="H18" s="64">
        <f>VLOOKUP(B18&amp;"_"&amp;"Public spending on education, total (% of GDP)",'Country Stats sectors'!$A$2:$P$1393,11,0)</f>
        <v>5.01636118109279</v>
      </c>
      <c r="I18" s="64">
        <f>VLOOKUP(B18&amp;"_"&amp;"Health expenditure, public (% of GDP)",'Country Stats sectors'!$A$2:$P$1393,11,0)</f>
        <v>1.8612</v>
      </c>
      <c r="J18" s="66">
        <f t="shared" si="0"/>
        <v>5.92932636297537</v>
      </c>
      <c r="K18" s="64">
        <f>VLOOKUP($B18&amp;"_"&amp;"General government final consumption expenditure (% of GDP)",'Country Stats Govt'!$A$2:$P$181,11,0)</f>
        <v>11.32008934021</v>
      </c>
      <c r="L18" s="65">
        <f>VLOOKUP($B18&amp;"_"&amp;"GDP per capita, PPP (current international $)",'Country Stats sectors'!$A$2:$P$1393,11,0)</f>
        <v>6552.26531278837</v>
      </c>
      <c r="M18" s="65">
        <f>VLOOKUP($B18&amp;"_"&amp;"GINI index",'Country Stats sectors'!$A$2:$P$1393,10,0)</f>
        <v>43.15</v>
      </c>
    </row>
    <row r="19" spans="1:13" ht="12.75">
      <c r="A19" t="s">
        <v>563</v>
      </c>
      <c r="B19" s="3" t="s">
        <v>583</v>
      </c>
      <c r="C19" s="97">
        <f>VLOOKUP($B19,Descriptive!$B$3:$K$94,2,0)</f>
        <v>1.5</v>
      </c>
      <c r="D19" s="97">
        <f>VLOOKUP($B19,Descriptive!$B$3:$K$94,3,0)</f>
        <v>1.1</v>
      </c>
      <c r="E19" s="97">
        <f>VLOOKUP($B19,Descriptive!$B$3:$K$94,4,0)</f>
        <v>2.6</v>
      </c>
      <c r="F19" s="97">
        <f>VLOOKUP($B19,Descriptive!$B$3:$K$94,5,0)</f>
        <v>42.30769230769231</v>
      </c>
      <c r="G19" s="98">
        <f>VLOOKUP($B19,Descriptive!$B$3:$K$94,6,0)</f>
        <v>1998</v>
      </c>
      <c r="H19" s="64" t="e">
        <f>VLOOKUP(B19&amp;"_"&amp;"Public spending on education, total (% of GDP)",'Country Stats sectors'!$A$2:$P$1393,8,0)</f>
        <v>#N/A</v>
      </c>
      <c r="I19" s="64" t="e">
        <f>VLOOKUP(B19&amp;"_"&amp;"Health expenditure, public (% of GDP)",'Country Stats sectors'!$A$2:$P$1393,10,0)</f>
        <v>#N/A</v>
      </c>
      <c r="J19" s="66" t="str">
        <f t="shared" si="0"/>
        <v>NA</v>
      </c>
      <c r="K19" s="64" t="e">
        <f>VLOOKUP($B19&amp;"_"&amp;"General government final consumption expenditure (% of GDP)",'Country Stats Govt'!$A$2:$P$181,8,0)</f>
        <v>#N/A</v>
      </c>
      <c r="L19" s="65" t="e">
        <f>VLOOKUP($B19&amp;"_"&amp;"GDP per capita, PPP (current international $)",'Country Stats sectors'!$A$2:$P$1393,8,0)</f>
        <v>#N/A</v>
      </c>
      <c r="M19" s="65" t="e">
        <f>VLOOKUP($B19&amp;"_"&amp;"GINI index",'Country Stats sectors'!$A$2:$P$1393,8,0)</f>
        <v>#N/A</v>
      </c>
    </row>
    <row r="20" spans="1:13" ht="12.75">
      <c r="A20" t="s">
        <v>560</v>
      </c>
      <c r="B20" s="14" t="s">
        <v>203</v>
      </c>
      <c r="C20" s="97">
        <f>VLOOKUP($B20,Descriptive!$B$3:$K$94,2,0)</f>
        <v>5.5</v>
      </c>
      <c r="D20" s="97">
        <f>VLOOKUP($B20,Descriptive!$B$3:$K$94,3,0)</f>
        <v>1.2</v>
      </c>
      <c r="E20" s="97">
        <f>VLOOKUP($B20,Descriptive!$B$3:$K$94,4,0)</f>
        <v>6.7</v>
      </c>
      <c r="F20" s="97">
        <f>VLOOKUP($B20,Descriptive!$B$3:$K$94,5,0)</f>
        <v>17.91044776119403</v>
      </c>
      <c r="G20" s="98">
        <f>VLOOKUP($B20,Descriptive!$B$3:$K$94,6,0)</f>
        <v>2005</v>
      </c>
      <c r="H20" s="64">
        <f>VLOOKUP(B20&amp;"_"&amp;"Public spending on education, total (% of GDP)",'Country Stats sectors'!$A$2:$P$1393,12,0)</f>
        <v>2.86624306463639</v>
      </c>
      <c r="I20" s="64">
        <f>VLOOKUP(B20&amp;"_"&amp;"Health expenditure, public (% of GDP)",'Country Stats sectors'!$A$2:$P$1393,14,0)</f>
        <v>2.9547</v>
      </c>
      <c r="J20" s="66">
        <f t="shared" si="0"/>
        <v>12.02932636297537</v>
      </c>
      <c r="K20" s="64">
        <f>VLOOKUP($B20&amp;"_"&amp;"General government final consumption expenditure (% of GDP)",'Country Stats Govt'!$A$2:$P$181,15,0)</f>
        <v>9.34315967559814</v>
      </c>
      <c r="L20" s="65">
        <f>VLOOKUP($B20&amp;"_"&amp;"GDP per capita, PPP (current international $)",'Country Stats sectors'!$A$2:$P$1393,15,0)</f>
        <v>5317.89917944021</v>
      </c>
      <c r="M20" s="65">
        <f>VLOOKUP($B20&amp;"_"&amp;"GINI index",'Country Stats sectors'!$A$2:$P$1393,14,0)</f>
        <v>31.1</v>
      </c>
    </row>
    <row r="21" spans="1:13" ht="12.75">
      <c r="A21" t="s">
        <v>560</v>
      </c>
      <c r="B21" s="12" t="s">
        <v>204</v>
      </c>
      <c r="C21" s="97">
        <f>VLOOKUP($B21,Descriptive!$B$3:$K$94,2,0)</f>
        <v>3</v>
      </c>
      <c r="D21" s="97">
        <f>VLOOKUP($B21,Descriptive!$B$3:$K$94,3,0)</f>
        <v>2.1</v>
      </c>
      <c r="E21" s="97">
        <f>VLOOKUP($B21,Descriptive!$B$3:$K$94,4,0)</f>
        <v>5.11</v>
      </c>
      <c r="F21" s="97">
        <f>VLOOKUP($B21,Descriptive!$B$3:$K$94,5,0)</f>
        <v>41.0958904109589</v>
      </c>
      <c r="G21" s="98">
        <f>VLOOKUP($B21,Descriptive!$B$3:$K$94,6,0)</f>
        <v>2002</v>
      </c>
      <c r="H21" s="64">
        <f>VLOOKUP(B21&amp;"_"&amp;"Public spending on education, total (% of GDP)",'Country Stats sectors'!$A$2:$P$1393,11,0)</f>
        <v>3.18338903481153</v>
      </c>
      <c r="I21" s="64">
        <f>VLOOKUP(B21&amp;"_"&amp;"Health expenditure, public (% of GDP)",'Country Stats sectors'!$A$2:$P$1393,12,0)</f>
        <v>1.2744</v>
      </c>
      <c r="J21" s="66">
        <f t="shared" si="0"/>
        <v>10.43932636297537</v>
      </c>
      <c r="K21" s="64">
        <f>VLOOKUP($B21&amp;"_"&amp;"General government final consumption expenditure (% of GDP)",'Country Stats Govt'!$A$2:$P$181,12,0)</f>
        <v>9.98704051971436</v>
      </c>
      <c r="L21" s="65">
        <f>VLOOKUP($B21&amp;"_"&amp;"GDP per capita, PPP (current international $)",'Country Stats sectors'!$A$2:$P$1393,12,0)</f>
        <v>3161.43384645668</v>
      </c>
      <c r="M21" s="65">
        <f>VLOOKUP($B21&amp;"_"&amp;"GINI index",'Country Stats sectors'!$A$2:$P$1393,13,0)</f>
        <v>33.766</v>
      </c>
    </row>
    <row r="22" spans="1:13" ht="12.75">
      <c r="A22" t="s">
        <v>560</v>
      </c>
      <c r="B22" s="12" t="s">
        <v>205</v>
      </c>
      <c r="C22" s="97">
        <f>VLOOKUP($B22,Descriptive!$B$3:$K$94,2,0)</f>
        <v>3.7</v>
      </c>
      <c r="D22" s="97">
        <f>VLOOKUP($B22,Descriptive!$B$3:$K$94,3,0)</f>
        <v>1.6</v>
      </c>
      <c r="E22" s="97">
        <f>VLOOKUP($B22,Descriptive!$B$3:$K$94,4,0)</f>
        <v>5.3</v>
      </c>
      <c r="F22" s="97">
        <f>VLOOKUP($B22,Descriptive!$B$3:$K$94,5,0)</f>
        <v>30.188679245283023</v>
      </c>
      <c r="G22" s="98">
        <f>VLOOKUP($B22,Descriptive!$B$3:$K$94,6,0)</f>
        <v>2001</v>
      </c>
      <c r="H22" s="64">
        <f>VLOOKUP(B22&amp;"_"&amp;"Public spending on education, total (% of GDP)",'Country Stats sectors'!$A$2:$P$1393,11,0)</f>
        <v>3.50341936683864</v>
      </c>
      <c r="I22" s="64">
        <f>VLOOKUP(B22&amp;"_"&amp;"Health expenditure, public (% of GDP)",'Country Stats sectors'!$A$2:$P$1393,11,0)</f>
        <v>0.872</v>
      </c>
      <c r="J22" s="66">
        <f t="shared" si="0"/>
        <v>10.62932636297537</v>
      </c>
      <c r="K22" s="64">
        <f>VLOOKUP($B22&amp;"_"&amp;"General government final consumption expenditure (% of GDP)",'Country Stats Govt'!$A$2:$P$181,11,0)</f>
        <v>13.6466245651245</v>
      </c>
      <c r="L22" s="65">
        <f>VLOOKUP($B22&amp;"_"&amp;"GDP per capita, PPP (current international $)",'Country Stats sectors'!$A$2:$P$1393,11,0)</f>
        <v>2764.49488416694</v>
      </c>
      <c r="M22" s="65">
        <f>VLOOKUP($B22&amp;"_"&amp;"GINI index",'Country Stats sectors'!$A$2:$P$1393,11,0)</f>
        <v>36.5</v>
      </c>
    </row>
    <row r="23" spans="1:13" ht="12.75">
      <c r="A23" t="s">
        <v>560</v>
      </c>
      <c r="B23" s="12" t="s">
        <v>206</v>
      </c>
      <c r="C23" s="97" t="str">
        <f>VLOOKUP($B23,Descriptive!$B$3:$K$94,2,0)</f>
        <v>NA</v>
      </c>
      <c r="D23" s="97" t="str">
        <f>VLOOKUP($B23,Descriptive!$B$3:$K$94,3,0)</f>
        <v>NA</v>
      </c>
      <c r="E23" s="97">
        <f>VLOOKUP($B23,Descriptive!$B$3:$K$94,4,0)</f>
        <v>14.4</v>
      </c>
      <c r="F23" s="97" t="str">
        <f>VLOOKUP($B23,Descriptive!$B$3:$K$94,5,0)</f>
        <v>NA</v>
      </c>
      <c r="G23" s="98">
        <f>VLOOKUP($B23,Descriptive!$B$3:$K$94,6,0)</f>
        <v>2001</v>
      </c>
      <c r="H23" s="64">
        <f>VLOOKUP(B23&amp;"_"&amp;"Public spending on education, total (% of GDP)",'Country Stats sectors'!$A$2:$P$1393,10,0)</f>
        <v>6.00001354307043</v>
      </c>
      <c r="I23" s="64">
        <f>VLOOKUP(B23&amp;"_"&amp;"Health expenditure, public (% of GDP)",'Country Stats sectors'!$A$2:$P$1393,11,0)</f>
        <v>4.9714</v>
      </c>
      <c r="J23" s="66">
        <f t="shared" si="0"/>
        <v>19.729326362975367</v>
      </c>
      <c r="K23" s="64">
        <f>VLOOKUP($B23&amp;"_"&amp;"General government final consumption expenditure (% of GDP)",'Country Stats Govt'!$A$2:$P$181,11,0)</f>
        <v>21.5527687072754</v>
      </c>
      <c r="L23" s="65">
        <f>VLOOKUP($B23&amp;"_"&amp;"GDP per capita, PPP (current international $)",'Country Stats sectors'!$A$2:$P$1393,11,0)</f>
        <v>5168.8774669781</v>
      </c>
      <c r="M23" s="65">
        <f>VLOOKUP($B23&amp;"_"&amp;"GINI index",'Country Stats sectors'!$A$2:$P$1393,10,0)</f>
        <v>30.35</v>
      </c>
    </row>
    <row r="24" spans="1:13" ht="12.75">
      <c r="A24" t="s">
        <v>560</v>
      </c>
      <c r="B24" s="14" t="s">
        <v>207</v>
      </c>
      <c r="C24" s="97">
        <f>VLOOKUP($B24,Descriptive!$B$3:$K$94,2,0)</f>
        <v>8.9</v>
      </c>
      <c r="D24" s="97">
        <f>VLOOKUP($B24,Descriptive!$B$3:$K$94,3,0)</f>
        <v>6.9</v>
      </c>
      <c r="E24" s="97">
        <f>VLOOKUP($B24,Descriptive!$B$3:$K$94,4,0)</f>
        <v>15.8</v>
      </c>
      <c r="F24" s="97">
        <f>VLOOKUP($B24,Descriptive!$B$3:$K$94,5,0)</f>
        <v>43.67088607594937</v>
      </c>
      <c r="G24" s="98">
        <f>VLOOKUP($B24,Descriptive!$B$3:$K$94,6,0)</f>
        <v>2000</v>
      </c>
      <c r="H24" s="64" t="str">
        <f>VLOOKUP(B24&amp;"_"&amp;"Public spending on education, total (% of GDP)",'Country Stats sectors'!$A$2:$P$1393,10,0)</f>
        <v>NA</v>
      </c>
      <c r="I24" s="64">
        <f>VLOOKUP(B24&amp;"_"&amp;"Health expenditure, public (% of GDP)",'Country Stats sectors'!$A$2:$P$1393,10,0)</f>
        <v>4.9305</v>
      </c>
      <c r="J24" s="66" t="str">
        <f t="shared" si="0"/>
        <v>NA</v>
      </c>
      <c r="K24" s="64" t="str">
        <f>VLOOKUP($B24&amp;"_"&amp;"General government final consumption expenditure (% of GDP)",'Country Stats Govt'!$A$2:$P$181,10,0)</f>
        <v>NA</v>
      </c>
      <c r="L24" s="65" t="str">
        <f>VLOOKUP($B24&amp;"_"&amp;"GDP per capita, PPP (current international $)",'Country Stats sectors'!$A$2:$P$1393,10,0)</f>
        <v>NA</v>
      </c>
      <c r="M24" s="65">
        <f>VLOOKUP($B24&amp;"_"&amp;"GINI index",'Country Stats sectors'!$A$2:$P$1393,11,0)</f>
        <v>26.15</v>
      </c>
    </row>
    <row r="25" spans="1:13" ht="12.75">
      <c r="A25" t="s">
        <v>560</v>
      </c>
      <c r="B25" s="14" t="s">
        <v>208</v>
      </c>
      <c r="C25" s="97">
        <f>VLOOKUP($B25,Descriptive!$B$3:$K$94,2,0)</f>
        <v>9.5</v>
      </c>
      <c r="D25" s="97">
        <f>VLOOKUP($B25,Descriptive!$B$3:$K$94,3,0)</f>
        <v>1.2</v>
      </c>
      <c r="E25" s="97">
        <f>VLOOKUP($B25,Descriptive!$B$3:$K$94,4,0)</f>
        <v>10.7</v>
      </c>
      <c r="F25" s="97">
        <f>VLOOKUP($B25,Descriptive!$B$3:$K$94,5,0)</f>
        <v>11.214953271028037</v>
      </c>
      <c r="G25" s="98">
        <f>VLOOKUP($B25,Descriptive!$B$3:$K$94,6,0)</f>
        <v>2004</v>
      </c>
      <c r="H25" s="64">
        <f>VLOOKUP(B25&amp;"_"&amp;"Public spending on education, total (% of GDP)",'Country Stats sectors'!$A$2:$P$1393,13,0)</f>
        <v>4.24049809784036</v>
      </c>
      <c r="I25" s="64">
        <f>VLOOKUP(B25&amp;"_"&amp;"Health expenditure, public (% of GDP)",'Country Stats sectors'!$A$2:$P$1393,14,0)</f>
        <v>4.608</v>
      </c>
      <c r="J25" s="66">
        <f t="shared" si="0"/>
        <v>16.029326362975368</v>
      </c>
      <c r="K25" s="64">
        <f>VLOOKUP($B25&amp;"_"&amp;"General government final consumption expenditure (% of GDP)",'Country Stats Govt'!$A$2:$P$181,14,0)</f>
        <v>18.3096790313721</v>
      </c>
      <c r="L25" s="65">
        <f>VLOOKUP($B25&amp;"_"&amp;"GDP per capita, PPP (current international $)",'Country Stats sectors'!$A$2:$P$1393,14,0)</f>
        <v>8384.71053839353</v>
      </c>
      <c r="M25" s="65">
        <f>VLOOKUP($B25&amp;"_"&amp;"GINI index",'Country Stats sectors'!$A$2:$P$1393,13,0)</f>
        <v>29.21</v>
      </c>
    </row>
    <row r="26" spans="1:13" ht="12.75">
      <c r="A26" t="s">
        <v>560</v>
      </c>
      <c r="B26" s="14" t="s">
        <v>209</v>
      </c>
      <c r="C26" s="97">
        <f>VLOOKUP($B26,Descriptive!$B$3:$K$94,2,0)</f>
        <v>12.4</v>
      </c>
      <c r="D26" s="97">
        <f>VLOOKUP($B26,Descriptive!$B$3:$K$94,3,0)</f>
        <v>1.8</v>
      </c>
      <c r="E26" s="97">
        <f>VLOOKUP($B26,Descriptive!$B$3:$K$94,4,0)</f>
        <v>14.2</v>
      </c>
      <c r="F26" s="97">
        <f>VLOOKUP($B26,Descriptive!$B$3:$K$94,5,0)</f>
        <v>12.676056338028168</v>
      </c>
      <c r="G26" s="98">
        <f>VLOOKUP($B26,Descriptive!$B$3:$K$94,6,0)</f>
        <v>2000</v>
      </c>
      <c r="H26" s="64">
        <f>VLOOKUP(B26&amp;"_"&amp;"Public spending on education, total (% of GDP)",'Country Stats sectors'!$A$2:$P$1393,11,0)</f>
        <v>4.49476903620901</v>
      </c>
      <c r="I26" s="64">
        <f>VLOOKUP(B26&amp;"_"&amp;"Health expenditure, public (% of GDP)",'Country Stats sectors'!$A$2:$P$1393,10,0)</f>
        <v>7.776</v>
      </c>
      <c r="J26" s="66">
        <f t="shared" si="0"/>
        <v>19.529326362975368</v>
      </c>
      <c r="K26" s="64">
        <f>VLOOKUP($B26&amp;"_"&amp;"General government final consumption expenditure (% of GDP)",'Country Stats Govt'!$A$2:$P$181,10,0)</f>
        <v>24.802978515625</v>
      </c>
      <c r="L26" s="65">
        <f>VLOOKUP($B26&amp;"_"&amp;"GDP per capita, PPP (current international $)",'Country Stats sectors'!$A$2:$P$1393,10,0)</f>
        <v>9115.83498187735</v>
      </c>
      <c r="M26" s="65">
        <f>VLOOKUP($B26&amp;"_"&amp;"GINI index",'Country Stats sectors'!$A$2:$P$1393,9,0)</f>
        <v>27.71</v>
      </c>
    </row>
    <row r="27" spans="1:13" ht="12.75">
      <c r="A27" t="s">
        <v>560</v>
      </c>
      <c r="B27" s="3" t="s">
        <v>589</v>
      </c>
      <c r="C27" s="97">
        <f>VLOOKUP($B27,Descriptive!$B$3:$K$94,2,0)</f>
        <v>11.4</v>
      </c>
      <c r="D27" s="97">
        <f>VLOOKUP($B27,Descriptive!$B$3:$K$94,3,0)</f>
        <v>2.4</v>
      </c>
      <c r="E27" s="97">
        <f>VLOOKUP($B27,Descriptive!$B$3:$K$94,4,0)</f>
        <v>13.8</v>
      </c>
      <c r="F27" s="97">
        <f>VLOOKUP($B27,Descriptive!$B$3:$K$94,5,0)</f>
        <v>17.391304347826086</v>
      </c>
      <c r="G27" s="98">
        <f>VLOOKUP($B27,Descriptive!$B$3:$K$94,6,0)</f>
        <v>2000</v>
      </c>
      <c r="H27" s="64" t="e">
        <f>VLOOKUP(B27&amp;"_"&amp;"Public spending on education, total (% of GDP)",'Country Stats sectors'!$A$2:$P$1393,10,0)</f>
        <v>#N/A</v>
      </c>
      <c r="I27" s="64" t="e">
        <f>VLOOKUP(B27&amp;"_"&amp;"Health expenditure, public (% of GDP)",'Country Stats sectors'!$A$2:$P$1393,10,0)</f>
        <v>#N/A</v>
      </c>
      <c r="J27" s="66" t="str">
        <f t="shared" si="0"/>
        <v>NA</v>
      </c>
      <c r="K27" s="64" t="e">
        <f>VLOOKUP($B27&amp;"_"&amp;"General government final consumption expenditure (% of GDP)",'Country Stats Govt'!$A$2:$P$181,10,0)</f>
        <v>#N/A</v>
      </c>
      <c r="L27" s="65" t="e">
        <f>VLOOKUP($B27&amp;"_"&amp;"GDP per capita, PPP (current international $)",'Country Stats sectors'!$A$2:$P$1393,10,0)</f>
        <v>#N/A</v>
      </c>
      <c r="M27" s="65" t="e">
        <f>VLOOKUP($B27&amp;"_"&amp;"GINI index",'Country Stats sectors'!$A$2:$P$1393,6,0)</f>
        <v>#N/A</v>
      </c>
    </row>
    <row r="28" spans="1:13" ht="12.75">
      <c r="A28" t="s">
        <v>560</v>
      </c>
      <c r="B28" s="3" t="s">
        <v>211</v>
      </c>
      <c r="C28" s="97">
        <f>VLOOKUP($B28,Descriptive!$B$3:$K$94,2,0)</f>
        <v>2.7</v>
      </c>
      <c r="D28" s="97">
        <f>VLOOKUP($B28,Descriptive!$B$3:$K$94,3,0)</f>
        <v>1.5</v>
      </c>
      <c r="E28" s="97">
        <f>VLOOKUP($B28,Descriptive!$B$3:$K$94,4,0)</f>
        <v>4.2</v>
      </c>
      <c r="F28" s="97">
        <f>VLOOKUP($B28,Descriptive!$B$3:$K$94,5,0)</f>
        <v>35.714285714285715</v>
      </c>
      <c r="G28" s="98">
        <f>VLOOKUP($B28,Descriptive!$B$3:$K$94,6,0)</f>
        <v>2000</v>
      </c>
      <c r="H28" s="64">
        <f>VLOOKUP(B28&amp;"_"&amp;"Public spending on education, total (% of GDP)",'Country Stats sectors'!$A$2:$P$1393,10,0)</f>
        <v>2.18106344766274</v>
      </c>
      <c r="I28" s="64">
        <f>VLOOKUP(B28&amp;"_"&amp;"Health expenditure, public (% of GDP)",'Country Stats sectors'!$A$2:$P$1393,10,0)</f>
        <v>1.2455</v>
      </c>
      <c r="J28" s="66">
        <f t="shared" si="0"/>
        <v>9.52932636297537</v>
      </c>
      <c r="K28" s="64">
        <f>VLOOKUP($B28&amp;"_"&amp;"General government final consumption expenditure (% of GDP)",'Country Stats Govt'!$A$2:$P$181,10,0)</f>
        <v>8.53881168365479</v>
      </c>
      <c r="L28" s="65">
        <f>VLOOKUP($B28&amp;"_"&amp;"GDP per capita, PPP (current international $)",'Country Stats sectors'!$A$2:$P$1393,10,0)</f>
        <v>1998.37810029739</v>
      </c>
      <c r="M28" s="65">
        <f>VLOOKUP($B28&amp;"_"&amp;"GINI index",'Country Stats sectors'!$A$2:$P$1393,9,0)</f>
        <v>38.05</v>
      </c>
    </row>
    <row r="29" spans="1:13" ht="12.75">
      <c r="A29" t="s">
        <v>560</v>
      </c>
      <c r="B29" s="13" t="s">
        <v>213</v>
      </c>
      <c r="C29" s="97">
        <f>VLOOKUP($B29,Descriptive!$B$3:$K$94,2,0)</f>
        <v>3.2</v>
      </c>
      <c r="D29" s="97">
        <f>VLOOKUP($B29,Descriptive!$B$3:$K$94,3,0)</f>
        <v>2.2</v>
      </c>
      <c r="E29" s="97">
        <f>VLOOKUP($B29,Descriptive!$B$3:$K$94,4,0)</f>
        <v>5.4</v>
      </c>
      <c r="F29" s="97">
        <f>VLOOKUP($B29,Descriptive!$B$3:$K$94,5,0)</f>
        <v>40.74074074074075</v>
      </c>
      <c r="G29" s="98">
        <f>VLOOKUP($B29,Descriptive!$B$3:$K$94,6,0)</f>
        <v>2002</v>
      </c>
      <c r="H29" s="64">
        <f>VLOOKUP(B29&amp;"_"&amp;"Public spending on education, total (% of GDP)",'Country Stats sectors'!$A$2:$P$1393,12,0)</f>
        <v>3.02970320909179</v>
      </c>
      <c r="I29" s="64">
        <f>VLOOKUP(B29&amp;"_"&amp;"Health expenditure, public (% of GDP)",'Country Stats sectors'!$A$2:$P$1393,12,0)</f>
        <v>1.855</v>
      </c>
      <c r="J29" s="66">
        <f t="shared" si="0"/>
        <v>10.729326362975371</v>
      </c>
      <c r="K29" s="64">
        <f>VLOOKUP($B29&amp;"_"&amp;"General government final consumption expenditure (% of GDP)",'Country Stats Govt'!$A$2:$P$181,12,0)</f>
        <v>11.609504699707</v>
      </c>
      <c r="L29" s="65">
        <f>VLOOKUP($B29&amp;"_"&amp;"GDP per capita, PPP (current international $)",'Country Stats sectors'!$A$2:$P$1393,12,0)</f>
        <v>5651.93790201176</v>
      </c>
      <c r="M29" s="65">
        <f>VLOOKUP($B29&amp;"_"&amp;"GINI index",'Country Stats sectors'!$A$2:$P$1393,11,0)</f>
        <v>31.3</v>
      </c>
    </row>
    <row r="30" spans="1:13" ht="12.75">
      <c r="A30" t="s">
        <v>560</v>
      </c>
      <c r="B30" s="13" t="s">
        <v>214</v>
      </c>
      <c r="C30" s="97">
        <f>VLOOKUP($B30,Descriptive!$B$3:$K$94,2,0)</f>
        <v>3.3</v>
      </c>
      <c r="D30" s="97">
        <f>VLOOKUP($B30,Descriptive!$B$3:$K$94,3,0)</f>
        <v>2.5</v>
      </c>
      <c r="E30" s="97">
        <f>VLOOKUP($B30,Descriptive!$B$3:$K$94,4,0)</f>
        <v>5.8</v>
      </c>
      <c r="F30" s="97">
        <f>VLOOKUP($B30,Descriptive!$B$3:$K$94,5,0)</f>
        <v>43.10344827586207</v>
      </c>
      <c r="G30" s="98">
        <f>VLOOKUP($B30,Descriptive!$B$3:$K$94,6,0)</f>
        <v>2003</v>
      </c>
      <c r="H30" s="100" t="s">
        <v>193</v>
      </c>
      <c r="I30" s="100" t="s">
        <v>193</v>
      </c>
      <c r="J30" s="66" t="str">
        <f t="shared" si="0"/>
        <v>NA</v>
      </c>
      <c r="K30" s="100" t="s">
        <v>193</v>
      </c>
      <c r="L30" s="101" t="s">
        <v>193</v>
      </c>
      <c r="M30" s="101" t="s">
        <v>193</v>
      </c>
    </row>
    <row r="31" spans="1:13" ht="12.75">
      <c r="A31" t="s">
        <v>560</v>
      </c>
      <c r="B31" s="12" t="s">
        <v>588</v>
      </c>
      <c r="C31" s="97">
        <f>VLOOKUP($B31,Descriptive!$B$3:$K$94,2,0)</f>
        <v>5.1</v>
      </c>
      <c r="D31" s="97">
        <f>VLOOKUP($B31,Descriptive!$B$3:$K$94,3,0)</f>
        <v>0.7</v>
      </c>
      <c r="E31" s="97">
        <f>VLOOKUP($B31,Descriptive!$B$3:$K$94,4,0)</f>
        <v>5.8</v>
      </c>
      <c r="F31" s="97">
        <f>VLOOKUP($B31,Descriptive!$B$3:$K$94,5,0)</f>
        <v>12.068965517241379</v>
      </c>
      <c r="G31" s="98">
        <f>VLOOKUP($B31,Descriptive!$B$3:$K$94,6,0)</f>
        <v>2001</v>
      </c>
      <c r="H31" s="64" t="e">
        <f>VLOOKUP(B31&amp;"_"&amp;"Public spending on education, total (% of GDP)",'Country Stats sectors'!$A$2:$P$1393,11,0)</f>
        <v>#N/A</v>
      </c>
      <c r="I31" s="64" t="e">
        <f>VLOOKUP(B31&amp;"_"&amp;"Health expenditure, public (% of GDP)",'Country Stats sectors'!$A$2:$P$1393,11,0)</f>
        <v>#N/A</v>
      </c>
      <c r="J31" s="66" t="str">
        <f t="shared" si="0"/>
        <v>NA</v>
      </c>
      <c r="K31" s="64" t="e">
        <f>VLOOKUP($B31&amp;"_"&amp;"General government final consumption expenditure (% of GDP)",'Country Stats Govt'!$A$2:$P$181,11,0)</f>
        <v>#N/A</v>
      </c>
      <c r="L31" s="65" t="e">
        <f>VLOOKUP($B31&amp;"_"&amp;"GDP per capita, PPP (current international $)",'Country Stats sectors'!$A$2:$P$1393,11,0)</f>
        <v>#N/A</v>
      </c>
      <c r="M31" s="65" t="e">
        <f>VLOOKUP($B31&amp;"_"&amp;"GINI index",'Country Stats sectors'!$A$2:$P$1393,11,0)</f>
        <v>#N/A</v>
      </c>
    </row>
    <row r="32" spans="1:13" ht="12.75">
      <c r="A32" t="s">
        <v>560</v>
      </c>
      <c r="B32" s="12" t="s">
        <v>216</v>
      </c>
      <c r="C32" s="97">
        <f>VLOOKUP($B32,Descriptive!$B$3:$K$94,2,0)</f>
        <v>9.935</v>
      </c>
      <c r="D32" s="97">
        <f>VLOOKUP($B32,Descriptive!$B$3:$K$94,3,0)</f>
        <v>1.345</v>
      </c>
      <c r="E32" s="97">
        <f>VLOOKUP($B32,Descriptive!$B$3:$K$94,4,0)</f>
        <v>11.285</v>
      </c>
      <c r="F32" s="97">
        <f>VLOOKUP($B32,Descriptive!$B$3:$K$94,5,0)</f>
        <v>11.918475852902082</v>
      </c>
      <c r="G32" s="98">
        <f>VLOOKUP($B32,Descriptive!$B$3:$K$94,6,0)</f>
        <v>2001</v>
      </c>
      <c r="H32" s="64">
        <f>VLOOKUP(B32&amp;"_"&amp;"Public spending on education, total (% of GDP)",'Country Stats sectors'!$A$2:$P$1393,11,0)</f>
        <v>5.47903226613289</v>
      </c>
      <c r="I32" s="64">
        <f>VLOOKUP(B32&amp;"_"&amp;"Health expenditure, public (% of GDP)",'Country Stats sectors'!$A$2:$P$1393,11,0)</f>
        <v>3.012</v>
      </c>
      <c r="J32" s="66">
        <f t="shared" si="0"/>
        <v>16.61432636297537</v>
      </c>
      <c r="K32" s="64">
        <f>VLOOKUP($B32&amp;"_"&amp;"General government final consumption expenditure (% of GDP)",'Country Stats Govt'!$A$2:$P$181,11,0)</f>
        <v>20.465892791748</v>
      </c>
      <c r="L32" s="65">
        <f>VLOOKUP($B32&amp;"_"&amp;"GDP per capita, PPP (current international $)",'Country Stats sectors'!$A$2:$P$1393,11,0)</f>
        <v>8872.95047594749</v>
      </c>
      <c r="M32" s="65">
        <f>VLOOKUP($B32&amp;"_"&amp;"GINI index",'Country Stats sectors'!$A$2:$P$1393,13,0)</f>
        <v>37.665</v>
      </c>
    </row>
    <row r="33" spans="1:13" ht="12.75">
      <c r="A33" t="s">
        <v>560</v>
      </c>
      <c r="B33" s="40" t="s">
        <v>494</v>
      </c>
      <c r="C33" s="97">
        <f>VLOOKUP($B33,Descriptive!$B$3:$K$94,2,0)</f>
        <v>10.6</v>
      </c>
      <c r="D33" s="97">
        <f>VLOOKUP($B33,Descriptive!$B$3:$K$94,3,0)</f>
        <v>1.4</v>
      </c>
      <c r="E33" s="97">
        <f>VLOOKUP($B33,Descriptive!$B$3:$K$94,4,0)</f>
        <v>12</v>
      </c>
      <c r="F33" s="97">
        <f>VLOOKUP($B33,Descriptive!$B$3:$K$94,5,0)</f>
        <v>11.666666666666666</v>
      </c>
      <c r="G33" s="98">
        <f>VLOOKUP($B33,Descriptive!$B$3:$K$94,6,0)</f>
        <v>2000</v>
      </c>
      <c r="H33" s="64">
        <f>VLOOKUP(B33&amp;"_"&amp;"Public spending on education, total (% of GDP)",'Country Stats sectors'!$A$2:$P$1393,9,0)</f>
        <v>4.12021744028292</v>
      </c>
      <c r="I33" s="64">
        <f>VLOOKUP(B33&amp;"_"&amp;"Health expenditure, public (% of GDP)",'Country Stats sectors'!$A$2:$P$1393,10,0)</f>
        <v>5.28</v>
      </c>
      <c r="J33" s="66">
        <f t="shared" si="0"/>
        <v>17.32932636297537</v>
      </c>
      <c r="K33" s="64">
        <f>VLOOKUP($B33&amp;"_"&amp;"General government final consumption expenditure (% of GDP)",'Country Stats Govt'!$A$2:$P$181,10,0)</f>
        <v>18.199161529541</v>
      </c>
      <c r="L33" s="65">
        <f>VLOOKUP($B33&amp;"_"&amp;"GDP per capita, PPP (current international $)",'Country Stats sectors'!$A$2:$P$1393,10,0)</f>
        <v>6055.26837148479</v>
      </c>
      <c r="M33" s="65">
        <f>VLOOKUP($B33&amp;"_"&amp;"GINI index",'Country Stats sectors'!$A$2:$P$1393,8,0)</f>
        <v>28.21</v>
      </c>
    </row>
    <row r="34" spans="1:13" ht="12.75">
      <c r="A34" t="s">
        <v>560</v>
      </c>
      <c r="B34" s="14" t="s">
        <v>582</v>
      </c>
      <c r="C34" s="97" t="e">
        <f>VLOOKUP($B34,Descriptive!$B$3:$K$94,2,0)</f>
        <v>#N/A</v>
      </c>
      <c r="D34" s="97" t="e">
        <f>VLOOKUP($B34,Descriptive!$B$3:$K$94,3,0)</f>
        <v>#N/A</v>
      </c>
      <c r="E34" s="97" t="e">
        <f>VLOOKUP($B34,Descriptive!$B$3:$K$94,4,0)</f>
        <v>#N/A</v>
      </c>
      <c r="F34" s="97" t="e">
        <f>VLOOKUP($B34,Descriptive!$B$3:$K$94,5,0)</f>
        <v>#N/A</v>
      </c>
      <c r="G34" s="98" t="e">
        <f>VLOOKUP($B34,Descriptive!$B$3:$K$94,6,0)</f>
        <v>#N/A</v>
      </c>
      <c r="H34" s="64" t="e">
        <f>VLOOKUP(B34&amp;"_"&amp;"Public spending on education, total (% of GDP)",'Country Stats sectors'!$A$2:$P$1393,15,0)</f>
        <v>#N/A</v>
      </c>
      <c r="I34" s="64" t="e">
        <f>VLOOKUP(B34&amp;"_"&amp;"Health expenditure, public (% of GDP)",'Country Stats sectors'!$A$2:$P$1393,15,0)</f>
        <v>#N/A</v>
      </c>
      <c r="J34" s="66" t="str">
        <f aca="true" t="shared" si="1" ref="J34:J65">IF(ISERROR($E34+$H34+$I34),"NA",$E34+H$2+I$2)</f>
        <v>NA</v>
      </c>
      <c r="K34" s="64" t="e">
        <f>VLOOKUP($B34&amp;"_"&amp;"General government final consumption expenditure (% of GDP)",'Country Stats Govt'!$A$2:$P$181,15,0)</f>
        <v>#N/A</v>
      </c>
      <c r="L34" s="65" t="e">
        <f>VLOOKUP($B34&amp;"_"&amp;"GDP per capita, PPP (current international $)",'Country Stats sectors'!$A$2:$P$1393,15,0)</f>
        <v>#N/A</v>
      </c>
      <c r="M34" s="65" t="e">
        <f>VLOOKUP($B34&amp;"_"&amp;"GINI index",'Country Stats sectors'!$A$2:$P$1393,13,0)</f>
        <v>#N/A</v>
      </c>
    </row>
    <row r="35" spans="1:13" ht="12.75">
      <c r="A35" t="s">
        <v>560</v>
      </c>
      <c r="B35" s="14" t="s">
        <v>218</v>
      </c>
      <c r="C35" s="97">
        <f>VLOOKUP($B35,Descriptive!$B$3:$K$94,2,0)</f>
        <v>16.34</v>
      </c>
      <c r="D35" s="97">
        <f>VLOOKUP($B35,Descriptive!$B$3:$K$94,3,0)</f>
        <v>1.06</v>
      </c>
      <c r="E35" s="97">
        <f>VLOOKUP($B35,Descriptive!$B$3:$K$94,4,0)</f>
        <v>17.4</v>
      </c>
      <c r="F35" s="97">
        <f>VLOOKUP($B35,Descriptive!$B$3:$K$94,5,0)</f>
        <v>6.0919540229885065</v>
      </c>
      <c r="G35" s="98">
        <f>VLOOKUP($B35,Descriptive!$B$3:$K$94,6,0)</f>
        <v>2000</v>
      </c>
      <c r="H35" s="64">
        <f>VLOOKUP(B35&amp;"_"&amp;"Public spending on education, total (% of GDP)",'Country Stats sectors'!$A$2:$P$1393,10,0)</f>
        <v>4.8287884170085</v>
      </c>
      <c r="I35" s="64">
        <f>VLOOKUP(B35&amp;"_"&amp;"Health expenditure, public (% of GDP)",'Country Stats sectors'!$A$2:$P$1393,10,0)</f>
        <v>3.85</v>
      </c>
      <c r="J35" s="66">
        <f t="shared" si="1"/>
        <v>22.729326362975367</v>
      </c>
      <c r="K35" s="64">
        <f>VLOOKUP($B35&amp;"_"&amp;"General government final consumption expenditure (% of GDP)",'Country Stats Govt'!$A$2:$P$181,10,0)</f>
        <v>18.5508670806885</v>
      </c>
      <c r="L35" s="65">
        <f>VLOOKUP($B35&amp;"_"&amp;"GDP per capita, PPP (current international $)",'Country Stats sectors'!$A$2:$P$1393,10,0)</f>
        <v>10772.3617072787</v>
      </c>
      <c r="M35" s="65">
        <f>VLOOKUP($B35&amp;"_"&amp;"GINI index",'Country Stats sectors'!$A$2:$P$1393,8,0)</f>
        <v>32.85</v>
      </c>
    </row>
    <row r="36" spans="1:13" ht="12.75">
      <c r="A36" t="s">
        <v>560</v>
      </c>
      <c r="B36" s="14" t="s">
        <v>219</v>
      </c>
      <c r="C36" s="97">
        <f>VLOOKUP($B36,Descriptive!$B$3:$K$94,2,0)</f>
        <v>8.9</v>
      </c>
      <c r="D36" s="97">
        <f>VLOOKUP($B36,Descriptive!$B$3:$K$94,3,0)</f>
        <v>1.1</v>
      </c>
      <c r="E36" s="97">
        <f>VLOOKUP($B36,Descriptive!$B$3:$K$94,4,0)</f>
        <v>10</v>
      </c>
      <c r="F36" s="97">
        <f>VLOOKUP($B36,Descriptive!$B$3:$K$94,5,0)</f>
        <v>11</v>
      </c>
      <c r="G36" s="98">
        <f>VLOOKUP($B36,Descriptive!$B$3:$K$94,6,0)</f>
        <v>2002</v>
      </c>
      <c r="H36" s="64">
        <f>VLOOKUP(B36&amp;"_"&amp;"Public spending on education, total (% of GDP)",'Country Stats sectors'!$A$2:$P$1393,12,0)</f>
        <v>3.52254924653295</v>
      </c>
      <c r="I36" s="64">
        <f>VLOOKUP(B36&amp;"_"&amp;"Health expenditure, public (% of GDP)",'Country Stats sectors'!$A$2:$P$1393,12,0)</f>
        <v>3.6512</v>
      </c>
      <c r="J36" s="66">
        <f t="shared" si="1"/>
        <v>15.32932636297537</v>
      </c>
      <c r="K36" s="64">
        <f>VLOOKUP($B36&amp;"_"&amp;"General government final consumption expenditure (% of GDP)",'Country Stats Govt'!$A$2:$P$181,12,0)</f>
        <v>6.8188042640686</v>
      </c>
      <c r="L36" s="65">
        <f>VLOOKUP($B36&amp;"_"&amp;"GDP per capita, PPP (current international $)",'Country Stats sectors'!$A$2:$P$1393,12,0)</f>
        <v>7023.13859928628</v>
      </c>
      <c r="M36" s="65">
        <f>VLOOKUP($B36&amp;"_"&amp;"GINI index",'Country Stats sectors'!$A$2:$P$1393,13,0)</f>
        <v>31.046</v>
      </c>
    </row>
    <row r="37" spans="1:13" ht="12.75">
      <c r="A37" t="s">
        <v>560</v>
      </c>
      <c r="B37" s="14" t="s">
        <v>220</v>
      </c>
      <c r="C37" s="97">
        <f>VLOOKUP($B37,Descriptive!$B$3:$K$94,2,0)</f>
        <v>7.2</v>
      </c>
      <c r="D37" s="97">
        <f>VLOOKUP($B37,Descriptive!$B$3:$K$94,3,0)</f>
        <v>1.8</v>
      </c>
      <c r="E37" s="97">
        <f>VLOOKUP($B37,Descriptive!$B$3:$K$94,4,0)</f>
        <v>9</v>
      </c>
      <c r="F37" s="97">
        <f>VLOOKUP($B37,Descriptive!$B$3:$K$94,5,0)</f>
        <v>20</v>
      </c>
      <c r="G37" s="98">
        <f>VLOOKUP($B37,Descriptive!$B$3:$K$94,6,0)</f>
        <v>2006</v>
      </c>
      <c r="H37" s="64">
        <f>VLOOKUP(B37&amp;"_"&amp;"Public spending on education, total (% of GDP)",'Country Stats sectors'!$A$2:$P$1393,14,0)</f>
        <v>3.55178513591049</v>
      </c>
      <c r="I37" s="64">
        <f>VLOOKUP(B37&amp;"_"&amp;"Health expenditure, public (% of GDP)",'Country Stats sectors'!$A$2:$P$1393,14,0)</f>
        <v>3.678</v>
      </c>
      <c r="J37" s="66">
        <f t="shared" si="1"/>
        <v>14.32932636297537</v>
      </c>
      <c r="K37" s="64">
        <f>VLOOKUP($B37&amp;"_"&amp;"General government final consumption expenditure (% of GDP)",'Country Stats Govt'!$A$2:$P$181,16,0)</f>
        <v>16.7181854248047</v>
      </c>
      <c r="L37" s="65">
        <f>VLOOKUP($B37&amp;"_"&amp;"GDP per capita, PPP (current international $)",'Country Stats sectors'!$A$2:$P$1393,16,0)</f>
        <v>11974.3285589487</v>
      </c>
      <c r="M37" s="65">
        <f>VLOOKUP($B37&amp;"_"&amp;"GINI index",'Country Stats sectors'!$A$2:$P$1393,12,0)</f>
        <v>39.93</v>
      </c>
    </row>
    <row r="38" spans="1:13" ht="12.75">
      <c r="A38" t="s">
        <v>560</v>
      </c>
      <c r="B38" s="14" t="s">
        <v>276</v>
      </c>
      <c r="C38" s="97">
        <f>VLOOKUP($B38,Descriptive!$B$3:$K$94,2,0)</f>
        <v>12.6</v>
      </c>
      <c r="D38" s="97">
        <f>VLOOKUP($B38,Descriptive!$B$3:$K$94,3,0)</f>
        <v>1.4</v>
      </c>
      <c r="E38" s="97">
        <f>VLOOKUP($B38,Descriptive!$B$3:$K$94,4,0)</f>
        <v>14</v>
      </c>
      <c r="F38" s="97">
        <f>VLOOKUP($B38,Descriptive!$B$3:$K$94,5,0)</f>
        <v>10</v>
      </c>
      <c r="G38" s="98">
        <f>VLOOKUP($B38,Descriptive!$B$3:$K$94,6,0)</f>
        <v>2005</v>
      </c>
      <c r="H38" s="64" t="str">
        <f>VLOOKUP(B38&amp;"_"&amp;"Public spending on education, total (% of GDP)",'Country Stats sectors'!$A$2:$P$1393,15,0)</f>
        <v>NA</v>
      </c>
      <c r="I38" s="64" t="str">
        <f>VLOOKUP(B38&amp;"_"&amp;"Health expenditure, public (% of GDP)",'Country Stats sectors'!$A$2:$P$1393,15,0)</f>
        <v>NA</v>
      </c>
      <c r="J38" s="66" t="str">
        <f t="shared" si="1"/>
        <v>NA</v>
      </c>
      <c r="K38" s="64">
        <f>VLOOKUP($B38&amp;"_"&amp;"General government final consumption expenditure (% of GDP)",'Country Stats Govt'!$A$2:$P$181,15,0)</f>
        <v>20.8696117401123</v>
      </c>
      <c r="L38" s="65" t="str">
        <f>VLOOKUP($B38&amp;"_"&amp;"GDP per capita, PPP (current international $)",'Country Stats sectors'!$A$2:$P$1393,15,0)</f>
        <v>NA</v>
      </c>
      <c r="M38" s="65" t="str">
        <f>VLOOKUP($B38&amp;"_"&amp;"GINI index",'Country Stats sectors'!$A$2:$P$1393,15,0)</f>
        <v>NA</v>
      </c>
    </row>
    <row r="39" spans="1:13" ht="12.75">
      <c r="A39" t="s">
        <v>560</v>
      </c>
      <c r="B39" s="14" t="s">
        <v>275</v>
      </c>
      <c r="C39" s="97">
        <f>VLOOKUP($B39,Descriptive!$B$3:$K$94,2,0)</f>
        <v>16</v>
      </c>
      <c r="D39" s="97">
        <f>VLOOKUP($B39,Descriptive!$B$3:$K$94,3,0)</f>
        <v>2</v>
      </c>
      <c r="E39" s="97">
        <f>VLOOKUP($B39,Descriptive!$B$3:$K$94,4,0)</f>
        <v>18</v>
      </c>
      <c r="F39" s="97">
        <f>VLOOKUP($B39,Descriptive!$B$3:$K$94,5,0)</f>
        <v>11.11111111111111</v>
      </c>
      <c r="G39" s="98">
        <f>VLOOKUP($B39,Descriptive!$B$3:$K$94,6,0)</f>
        <v>2002</v>
      </c>
      <c r="H39" s="64" t="str">
        <f>VLOOKUP(B39&amp;"_"&amp;"Public spending on education, total (% of GDP)",'Country Stats sectors'!$A$2:$P$1393,12,0)</f>
        <v>NA</v>
      </c>
      <c r="I39" s="64" t="str">
        <f>VLOOKUP(B39&amp;"_"&amp;"Health expenditure, public (% of GDP)",'Country Stats sectors'!$A$2:$P$1393,12,0)</f>
        <v>NA</v>
      </c>
      <c r="J39" s="66" t="str">
        <f t="shared" si="1"/>
        <v>NA</v>
      </c>
      <c r="K39" s="64">
        <f>VLOOKUP($B39&amp;"_"&amp;"General government final consumption expenditure (% of GDP)",'Country Stats Govt'!$A$2:$P$181,12,0)</f>
        <v>25.9853019714355</v>
      </c>
      <c r="L39" s="65" t="str">
        <f>VLOOKUP($B39&amp;"_"&amp;"GDP per capita, PPP (current international $)",'Country Stats sectors'!$A$2:$P$1393,12,0)</f>
        <v>NA</v>
      </c>
      <c r="M39" s="65" t="str">
        <f>VLOOKUP($B39&amp;"_"&amp;"GINI index",'Country Stats sectors'!$A$2:$P$1393,12,0)</f>
        <v>NA</v>
      </c>
    </row>
    <row r="40" spans="1:13" ht="12.75">
      <c r="A40" t="s">
        <v>560</v>
      </c>
      <c r="B40" s="14" t="s">
        <v>581</v>
      </c>
      <c r="C40" s="97">
        <f>VLOOKUP($B40,Descriptive!$B$3:$K$94,2,0)</f>
        <v>9.4</v>
      </c>
      <c r="D40" s="97">
        <f>VLOOKUP($B40,Descriptive!$B$3:$K$94,3,0)</f>
        <v>3.7</v>
      </c>
      <c r="E40" s="97">
        <f>VLOOKUP($B40,Descriptive!$B$3:$K$94,4,0)</f>
        <v>13.1</v>
      </c>
      <c r="F40" s="97">
        <f>VLOOKUP($B40,Descriptive!$B$3:$K$94,5,0)</f>
        <v>28.24427480916031</v>
      </c>
      <c r="G40" s="99">
        <v>2002</v>
      </c>
      <c r="H40" s="64" t="e">
        <f>VLOOKUP(B40&amp;"_"&amp;"Public spending on education, total (% of GDP)",'Country Stats sectors'!$A$2:$P$1393,12,0)</f>
        <v>#N/A</v>
      </c>
      <c r="I40" s="64" t="e">
        <f>VLOOKUP(B40&amp;"_"&amp;"Health expenditure, public (% of GDP)",'Country Stats sectors'!$A$2:$P$1393,12,0)</f>
        <v>#N/A</v>
      </c>
      <c r="J40" s="66" t="str">
        <f t="shared" si="1"/>
        <v>NA</v>
      </c>
      <c r="K40" s="64" t="e">
        <f>VLOOKUP($B40&amp;"_"&amp;"General government final consumption expenditure (% of GDP)",'Country Stats Govt'!$A$2:$P$181,12,0)</f>
        <v>#N/A</v>
      </c>
      <c r="L40" s="65" t="e">
        <f>VLOOKUP($B40&amp;"_"&amp;"GDP per capita, PPP (current international $)",'Country Stats sectors'!$A$2:$P$1393,12,0)</f>
        <v>#N/A</v>
      </c>
      <c r="M40" s="65" t="e">
        <f>VLOOKUP($B40&amp;"_"&amp;"GINI index",'Country Stats sectors'!$A$2:$P$1393,12,0)</f>
        <v>#N/A</v>
      </c>
    </row>
    <row r="41" spans="1:13" ht="12.75">
      <c r="A41" t="s">
        <v>560</v>
      </c>
      <c r="B41" s="14" t="s">
        <v>222</v>
      </c>
      <c r="C41" s="97">
        <f>VLOOKUP($B41,Descriptive!$B$3:$K$94,2,0)</f>
        <v>1.8</v>
      </c>
      <c r="D41" s="97">
        <f>VLOOKUP($B41,Descriptive!$B$3:$K$94,3,0)</f>
        <v>0.2</v>
      </c>
      <c r="E41" s="97">
        <f>VLOOKUP($B41,Descriptive!$B$3:$K$94,4,0)</f>
        <v>1.9</v>
      </c>
      <c r="F41" s="97">
        <f>VLOOKUP($B41,Descriptive!$B$3:$K$94,5,0)</f>
        <v>10.526315789473685</v>
      </c>
      <c r="G41" s="98">
        <f>VLOOKUP($B41,Descriptive!$B$3:$K$94,6,0)</f>
        <v>1999</v>
      </c>
      <c r="H41" s="64">
        <f>VLOOKUP(B41&amp;"_"&amp;"Public spending on education, total (% of GDP)",'Country Stats sectors'!$A$2:$P$1393,12,0)</f>
        <v>2.77580474019488</v>
      </c>
      <c r="I41" s="64">
        <f>VLOOKUP(B41&amp;"_"&amp;"Health expenditure, public (% of GDP)",'Country Stats sectors'!$A$2:$P$1393,12,0)</f>
        <v>0.9072</v>
      </c>
      <c r="J41" s="66">
        <f t="shared" si="1"/>
        <v>7.229326362975369</v>
      </c>
      <c r="K41" s="64">
        <f>VLOOKUP($B41&amp;"_"&amp;"General government final consumption expenditure (% of GDP)",'Country Stats Govt'!$A$2:$P$181,12,0)</f>
        <v>8.598876953125</v>
      </c>
      <c r="L41" s="65">
        <f>VLOOKUP($B41&amp;"_"&amp;"GDP per capita, PPP (current international $)",'Country Stats sectors'!$A$2:$P$1393,12,0)</f>
        <v>989.185989190642</v>
      </c>
      <c r="M41" s="65">
        <f>VLOOKUP($B41&amp;"_"&amp;"GINI index",'Country Stats sectors'!$A$2:$P$1393,13,0)</f>
        <v>32.64</v>
      </c>
    </row>
    <row r="42" spans="1:13" ht="12.75">
      <c r="A42" t="s">
        <v>560</v>
      </c>
      <c r="B42" s="14" t="s">
        <v>223</v>
      </c>
      <c r="C42" s="97">
        <f>VLOOKUP($B42,Descriptive!$B$3:$K$94,2,0)</f>
        <v>7.2</v>
      </c>
      <c r="D42" s="97">
        <f>VLOOKUP($B42,Descriptive!$B$3:$K$94,3,0)</f>
        <v>2.1000000000000005</v>
      </c>
      <c r="E42" s="97">
        <f>VLOOKUP($B42,Descriptive!$B$3:$K$94,4,0)</f>
        <v>9.3</v>
      </c>
      <c r="F42" s="97">
        <f>VLOOKUP($B42,Descriptive!$B$3:$K$94,5,0)</f>
        <v>22.580645161290327</v>
      </c>
      <c r="G42" s="98">
        <f>VLOOKUP($B42,Descriptive!$B$3:$K$94,6,0)</f>
        <v>2004</v>
      </c>
      <c r="H42" s="64">
        <f>VLOOKUP(B42&amp;"_"&amp;"Public spending on education, total (% of GDP)",'Country Stats sectors'!$A$2:$P$1393,14,0)</f>
        <v>4</v>
      </c>
      <c r="I42" s="64">
        <f>VLOOKUP(B42&amp;"_"&amp;"Health expenditure, public (% of GDP)",'Country Stats sectors'!$A$2:$P$1393,14,0)</f>
        <v>5.5818142567</v>
      </c>
      <c r="J42" s="66">
        <f t="shared" si="1"/>
        <v>14.629326362975371</v>
      </c>
      <c r="K42" s="64">
        <f>VLOOKUP($B42&amp;"_"&amp;"General government final consumption expenditure (% of GDP)",'Country Stats Govt'!$A$2:$P$181,14,0)</f>
        <v>13.1879138946533</v>
      </c>
      <c r="L42" s="65">
        <f>VLOOKUP($B42&amp;"_"&amp;"GDP per capita, PPP (current international $)",'Country Stats sectors'!$A$2:$P$1393,14,0)</f>
        <v>7699.04051666698</v>
      </c>
      <c r="M42" s="65">
        <f>VLOOKUP($B42&amp;"_"&amp;"GINI index",'Country Stats sectors'!$A$2:$P$1393,13,0)</f>
        <v>43.638</v>
      </c>
    </row>
    <row r="43" spans="1:13" ht="12.75">
      <c r="A43" t="s">
        <v>560</v>
      </c>
      <c r="B43" s="3" t="s">
        <v>224</v>
      </c>
      <c r="C43" s="97">
        <f>VLOOKUP($B43,Descriptive!$B$3:$K$94,2,0)</f>
        <v>9.8</v>
      </c>
      <c r="D43" s="97">
        <f>VLOOKUP($B43,Descriptive!$B$3:$K$94,3,0)</f>
        <v>3.2</v>
      </c>
      <c r="E43" s="97">
        <f>VLOOKUP($B43,Descriptive!$B$3:$K$94,4,0)</f>
        <v>13</v>
      </c>
      <c r="F43" s="97">
        <f>VLOOKUP($B43,Descriptive!$B$3:$K$94,5,0)</f>
        <v>24.615384615384617</v>
      </c>
      <c r="G43" s="98">
        <f>VLOOKUP($B43,Descriptive!$B$3:$K$94,6,0)</f>
        <v>2000</v>
      </c>
      <c r="H43" s="64">
        <f>VLOOKUP(B43&amp;"_"&amp;"Public spending on education, total (% of GDP)",'Country Stats sectors'!$A$2:$P$1409,10,0)</f>
        <v>4.1662256811891</v>
      </c>
      <c r="I43" s="64">
        <f>VLOOKUP(B43&amp;"_"&amp;"Health expenditure, public (% of GDP)",'Country Stats sectors'!$A$2:$P$1409,10,0)</f>
        <v>2.871</v>
      </c>
      <c r="J43" s="66">
        <f t="shared" si="1"/>
        <v>18.32932636297537</v>
      </c>
      <c r="K43" s="64">
        <f>VLOOKUP($B43&amp;"_"&amp;"General government final consumption expenditure (% of GDP)",'Country Stats Govt'!$A$2:$P$181,10,0)</f>
        <v>20.9184455871582</v>
      </c>
      <c r="L43" s="65">
        <f>VLOOKUP($B43&amp;"_"&amp;"GDP per capita, PPP (current international $)",'Country Stats sectors'!$A$2:$P$1409,10,0)</f>
        <v>4036.73018097128</v>
      </c>
      <c r="M43" s="65">
        <f>VLOOKUP($B43&amp;"_"&amp;"GINI index",'Country Stats sectors'!$A$2:$P$1409,9,0)</f>
        <v>28.96</v>
      </c>
    </row>
    <row r="44" spans="1:13" ht="12.75">
      <c r="A44" t="s">
        <v>560</v>
      </c>
      <c r="B44" s="3" t="s">
        <v>225</v>
      </c>
      <c r="C44" s="97">
        <f>VLOOKUP($B44,Descriptive!$B$3:$K$94,2,0)</f>
        <v>7</v>
      </c>
      <c r="D44" s="97">
        <f>VLOOKUP($B44,Descriptive!$B$3:$K$94,3,0)</f>
        <v>2</v>
      </c>
      <c r="E44" s="97">
        <f>VLOOKUP($B44,Descriptive!$B$3:$K$94,4,0)</f>
        <v>9</v>
      </c>
      <c r="F44" s="97">
        <f>VLOOKUP($B44,Descriptive!$B$3:$K$94,5,0)</f>
        <v>22.22222222222222</v>
      </c>
      <c r="G44" s="98">
        <f>VLOOKUP($B44,Descriptive!$B$3:$K$94,6,0)</f>
        <v>2000</v>
      </c>
      <c r="H44" s="64" t="str">
        <f>VLOOKUP(B44&amp;"_"&amp;"Public spending on education, total (% of GDP)",'Country Stats sectors'!$A$2:$P$1393,10,0)</f>
        <v>NA</v>
      </c>
      <c r="I44" s="64">
        <f>VLOOKUP(B44&amp;"_"&amp;"Health expenditure, public (% of GDP)",'Country Stats sectors'!$A$2:$P$1393,10,0)</f>
        <v>2.6042</v>
      </c>
      <c r="J44" s="66" t="str">
        <f t="shared" si="1"/>
        <v>NA</v>
      </c>
      <c r="K44" s="64">
        <f>VLOOKUP($B44&amp;"_"&amp;"General government final consumption expenditure (% of GDP)",'Country Stats Govt'!$A$2:$P$181,10,0)</f>
        <v>18.6531162261963</v>
      </c>
      <c r="L44" s="65">
        <f>VLOOKUP($B44&amp;"_"&amp;"GDP per capita, PPP (current international $)",'Country Stats sectors'!$A$2:$P$1393,10,0)</f>
        <v>1497.78346381873</v>
      </c>
      <c r="M44" s="65">
        <f>VLOOKUP($B44&amp;"_"&amp;"GINI index",'Country Stats sectors'!$A$2:$P$1393,8,0)</f>
        <v>45.35</v>
      </c>
    </row>
    <row r="45" spans="1:13" ht="12.75">
      <c r="A45" t="s">
        <v>562</v>
      </c>
      <c r="B45" s="14" t="s">
        <v>237</v>
      </c>
      <c r="C45" s="97">
        <f>VLOOKUP($B45,Descriptive!$B$3:$K$94,2,0)</f>
        <v>7.7</v>
      </c>
      <c r="D45" s="97">
        <f>VLOOKUP($B45,Descriptive!$B$3:$K$94,3,0)</f>
        <v>1.5</v>
      </c>
      <c r="E45" s="97">
        <f>VLOOKUP($B45,Descriptive!$B$3:$K$94,4,0)</f>
        <v>9.2</v>
      </c>
      <c r="F45" s="97">
        <f>VLOOKUP($B45,Descriptive!$B$3:$K$94,5,0)</f>
        <v>16.304347826086957</v>
      </c>
      <c r="G45" s="98">
        <f>VLOOKUP($B45,Descriptive!$B$3:$K$94,6,0)</f>
        <v>2004</v>
      </c>
      <c r="H45" s="64">
        <f>VLOOKUP(B45&amp;"_"&amp;"Public spending on education, total (% of GDP)",'Country Stats sectors'!$A$2:$P$1393,14,0)</f>
        <v>3.78121082438652</v>
      </c>
      <c r="I45" s="64">
        <f>VLOOKUP(B45&amp;"_"&amp;"Health expenditure, public (% of GDP)",'Country Stats sectors'!$A$2:$P$1393,14,0)</f>
        <v>4.3488</v>
      </c>
      <c r="J45" s="66">
        <f t="shared" si="1"/>
        <v>14.52932636297537</v>
      </c>
      <c r="K45" s="64">
        <f>VLOOKUP($B45&amp;"_"&amp;"General government final consumption expenditure (% of GDP)",'Country Stats Govt'!$A$2:$P$181,14,0)</f>
        <v>11.1306295394897</v>
      </c>
      <c r="L45" s="65">
        <f>VLOOKUP($B45&amp;"_"&amp;"GDP per capita, PPP (current international $)",'Country Stats sectors'!$A$2:$P$1393,14,0)</f>
        <v>12825.7694291429</v>
      </c>
      <c r="M45" s="65">
        <f>VLOOKUP($B45&amp;"_"&amp;"GINI index",'Country Stats sectors'!$A$2:$P$1393,14,0)</f>
        <v>51.32</v>
      </c>
    </row>
    <row r="46" spans="1:13" ht="12.75">
      <c r="A46" t="s">
        <v>562</v>
      </c>
      <c r="B46" s="14" t="s">
        <v>238</v>
      </c>
      <c r="C46" s="97">
        <f>VLOOKUP($B46,Descriptive!$B$3:$K$94,2,0)</f>
        <v>6.300000000000001</v>
      </c>
      <c r="D46" s="97">
        <f>VLOOKUP($B46,Descriptive!$B$3:$K$94,3,0)</f>
        <v>2</v>
      </c>
      <c r="E46" s="97">
        <f>VLOOKUP($B46,Descriptive!$B$3:$K$94,4,0)</f>
        <v>8.3</v>
      </c>
      <c r="F46" s="97">
        <f>VLOOKUP($B46,Descriptive!$B$3:$K$94,5,0)</f>
        <v>24.096385542168672</v>
      </c>
      <c r="G46" s="98">
        <f>VLOOKUP($B46,Descriptive!$B$3:$K$94,6,0)</f>
        <v>2002</v>
      </c>
      <c r="H46" s="64">
        <f>VLOOKUP(B46&amp;"_"&amp;"Public spending on education, total (% of GDP)",'Country Stats sectors'!$A$2:$P$1393,12,0)</f>
        <v>6.23030815179751</v>
      </c>
      <c r="I46" s="64">
        <f>VLOOKUP(B46&amp;"_"&amp;"Health expenditure, public (% of GDP)",'Country Stats sectors'!$A$2:$P$1393,12,0)</f>
        <v>4.082</v>
      </c>
      <c r="J46" s="66">
        <f t="shared" si="1"/>
        <v>13.629326362975371</v>
      </c>
      <c r="K46" s="64">
        <f>VLOOKUP($B46&amp;"_"&amp;"General government final consumption expenditure (% of GDP)",'Country Stats Govt'!$A$2:$P$181,12,0)</f>
        <v>15.9678897857666</v>
      </c>
      <c r="L46" s="65">
        <f>VLOOKUP($B46&amp;"_"&amp;"GDP per capita, PPP (current international $)",'Country Stats sectors'!$A$2:$P$1393,12,0)</f>
        <v>2489.3714437571</v>
      </c>
      <c r="M46" s="65">
        <f>VLOOKUP($B46&amp;"_"&amp;"GINI index",'Country Stats sectors'!$A$2:$P$1393,12,0)</f>
        <v>60.05</v>
      </c>
    </row>
    <row r="47" spans="1:13" ht="12.75">
      <c r="A47" t="s">
        <v>562</v>
      </c>
      <c r="B47" s="14" t="s">
        <v>239</v>
      </c>
      <c r="C47" s="97">
        <f>VLOOKUP($B47,Descriptive!$B$3:$K$94,2,0)</f>
        <v>11.7</v>
      </c>
      <c r="D47" s="97">
        <f>VLOOKUP($B47,Descriptive!$B$3:$K$94,3,0)</f>
        <v>1.4</v>
      </c>
      <c r="E47" s="97">
        <f>VLOOKUP($B47,Descriptive!$B$3:$K$94,4,0)</f>
        <v>13.1</v>
      </c>
      <c r="F47" s="97">
        <f>VLOOKUP($B47,Descriptive!$B$3:$K$94,5,0)</f>
        <v>10.687022900763358</v>
      </c>
      <c r="G47" s="98">
        <f>VLOOKUP($B47,Descriptive!$B$3:$K$94,6,0)</f>
        <v>2004</v>
      </c>
      <c r="H47" s="64">
        <f>VLOOKUP(B47&amp;"_"&amp;"Public spending on education, total (% of GDP)",'Country Stats sectors'!$A$2:$P$1393,14,0)</f>
        <v>4.40448254995245</v>
      </c>
      <c r="I47" s="64">
        <f>VLOOKUP(B47&amp;"_"&amp;"Health expenditure, public (% of GDP)",'Country Stats sectors'!$A$2:$P$1393,14,0)</f>
        <v>4.7608</v>
      </c>
      <c r="J47" s="66">
        <f t="shared" si="1"/>
        <v>18.429326362975367</v>
      </c>
      <c r="K47" s="64">
        <f>VLOOKUP($B47&amp;"_"&amp;"General government final consumption expenditure (% of GDP)",'Country Stats Govt'!$A$2:$P$181,14,0)</f>
        <v>19.2265968322754</v>
      </c>
      <c r="L47" s="65">
        <f>VLOOKUP($B47&amp;"_"&amp;"GDP per capita, PPP (current international $)",'Country Stats sectors'!$A$2:$P$1393,14,0)</f>
        <v>8206.38367748721</v>
      </c>
      <c r="M47" s="65">
        <f>VLOOKUP($B47&amp;"_"&amp;"GINI index",'Country Stats sectors'!$A$2:$P$1393,14,0)</f>
        <v>56.99</v>
      </c>
    </row>
    <row r="48" spans="1:13" ht="12.75">
      <c r="A48" t="s">
        <v>562</v>
      </c>
      <c r="B48" s="14" t="s">
        <v>240</v>
      </c>
      <c r="C48" s="97">
        <f>VLOOKUP($B48,Descriptive!$B$3:$K$94,2,0)</f>
        <v>6.9</v>
      </c>
      <c r="D48" s="97">
        <f>VLOOKUP($B48,Descriptive!$B$3:$K$94,3,0)</f>
        <v>0.7</v>
      </c>
      <c r="E48" s="97">
        <f>VLOOKUP($B48,Descriptive!$B$3:$K$94,4,0)</f>
        <v>7.6</v>
      </c>
      <c r="F48" s="97">
        <f>VLOOKUP($B48,Descriptive!$B$3:$K$94,5,0)</f>
        <v>9.210526315789473</v>
      </c>
      <c r="G48" s="98">
        <f>VLOOKUP($B48,Descriptive!$B$3:$K$94,6,0)</f>
        <v>2003</v>
      </c>
      <c r="H48" s="64">
        <f>VLOOKUP(B48&amp;"_"&amp;"Public spending on education, total (% of GDP)",'Country Stats sectors'!$A$2:$P$1393,13,0)</f>
        <v>4.06814587215566</v>
      </c>
      <c r="I48" s="64">
        <f>VLOOKUP(B48&amp;"_"&amp;"Health expenditure, public (% of GDP)",'Country Stats sectors'!$A$2:$P$1393,13,0)</f>
        <v>2.898</v>
      </c>
      <c r="J48" s="66">
        <f t="shared" si="1"/>
        <v>12.92932636297537</v>
      </c>
      <c r="K48" s="64">
        <f>VLOOKUP($B48&amp;"_"&amp;"General government final consumption expenditure (% of GDP)",'Country Stats Govt'!$A$2:$P$181,13,0)</f>
        <v>12.0145578384399</v>
      </c>
      <c r="L48" s="65">
        <f>VLOOKUP($B48&amp;"_"&amp;"GDP per capita, PPP (current international $)",'Country Stats sectors'!$A$2:$P$1393,13,0)</f>
        <v>10297.7856199113</v>
      </c>
      <c r="M48" s="65">
        <f>VLOOKUP($B48&amp;"_"&amp;"GINI index",'Country Stats sectors'!$A$2:$P$1393,13,0)</f>
        <v>54.92</v>
      </c>
    </row>
    <row r="49" spans="1:13" ht="12.75">
      <c r="A49" t="s">
        <v>562</v>
      </c>
      <c r="B49" s="14" t="s">
        <v>241</v>
      </c>
      <c r="C49" s="97">
        <f>VLOOKUP($B49,Descriptive!$B$3:$K$94,2,0)</f>
        <v>5.9</v>
      </c>
      <c r="D49" s="97">
        <f>VLOOKUP($B49,Descriptive!$B$3:$K$94,3,0)</f>
        <v>0.6</v>
      </c>
      <c r="E49" s="97">
        <f>VLOOKUP($B49,Descriptive!$B$3:$K$94,4,0)</f>
        <v>6.5</v>
      </c>
      <c r="F49" s="97">
        <f>VLOOKUP($B49,Descriptive!$B$3:$K$94,5,0)</f>
        <v>9.23076923076923</v>
      </c>
      <c r="G49" s="98">
        <f>VLOOKUP($B49,Descriptive!$B$3:$K$94,6,0)</f>
        <v>2004</v>
      </c>
      <c r="H49" s="64">
        <f>VLOOKUP(B49&amp;"_"&amp;"Public spending on education, total (% of GDP)",'Country Stats sectors'!$A$2:$P$1393,14,0)</f>
        <v>4.93491720776597</v>
      </c>
      <c r="I49" s="64">
        <f>VLOOKUP(B49&amp;"_"&amp;"Health expenditure, public (% of GDP)",'Country Stats sectors'!$A$2:$P$1393,14,0)</f>
        <v>6.708</v>
      </c>
      <c r="J49" s="66">
        <f t="shared" si="1"/>
        <v>11.82932636297537</v>
      </c>
      <c r="K49" s="64">
        <f>VLOOKUP($B49&amp;"_"&amp;"General government final consumption expenditure (% of GDP)",'Country Stats Govt'!$A$2:$P$181,14,0)</f>
        <v>18.8142242431641</v>
      </c>
      <c r="L49" s="65">
        <f>VLOOKUP($B49&amp;"_"&amp;"GDP per capita, PPP (current international $)",'Country Stats sectors'!$A$2:$P$1393,14,0)</f>
        <v>6906.11437929784</v>
      </c>
      <c r="M49" s="65">
        <f>VLOOKUP($B49&amp;"_"&amp;"GINI index",'Country Stats sectors'!$A$2:$P$1393,13,0)</f>
        <v>58.622</v>
      </c>
    </row>
    <row r="50" spans="1:13" ht="12.75">
      <c r="A50" t="s">
        <v>562</v>
      </c>
      <c r="B50" s="14" t="s">
        <v>242</v>
      </c>
      <c r="C50" s="97">
        <f>VLOOKUP($B50,Descriptive!$B$3:$K$94,2,0)</f>
        <v>4.3</v>
      </c>
      <c r="D50" s="97">
        <f>VLOOKUP($B50,Descriptive!$B$3:$K$94,3,0)</f>
        <v>1.5</v>
      </c>
      <c r="E50" s="97">
        <f>VLOOKUP($B50,Descriptive!$B$3:$K$94,4,0)</f>
        <v>5.8</v>
      </c>
      <c r="F50" s="97">
        <f>VLOOKUP($B50,Descriptive!$B$3:$K$94,5,0)</f>
        <v>25.862068965517242</v>
      </c>
      <c r="G50" s="98">
        <f>VLOOKUP($B50,Descriptive!$B$3:$K$94,6,0)</f>
        <v>2004</v>
      </c>
      <c r="H50" s="64">
        <f>VLOOKUP(B50&amp;"_"&amp;"Public spending on education, total (% of GDP)",'Country Stats sectors'!$A$2:$P$1393,14,0)</f>
        <v>4.9211853424862</v>
      </c>
      <c r="I50" s="64">
        <f>VLOOKUP(B50&amp;"_"&amp;"Health expenditure, public (% of GDP)",'Country Stats sectors'!$A$2:$P$1393,14,0)</f>
        <v>5.082</v>
      </c>
      <c r="J50" s="66">
        <f t="shared" si="1"/>
        <v>11.12932636297537</v>
      </c>
      <c r="K50" s="64">
        <f>VLOOKUP($B50&amp;"_"&amp;"General government final consumption expenditure (% of GDP)",'Country Stats Govt'!$A$2:$P$181,14,0)</f>
        <v>14.1325950622559</v>
      </c>
      <c r="L50" s="65">
        <f>VLOOKUP($B50&amp;"_"&amp;"GDP per capita, PPP (current international $)",'Country Stats sectors'!$A$2:$P$1393,14,0)</f>
        <v>9503.88108931627</v>
      </c>
      <c r="M50" s="65">
        <f>VLOOKUP($B50&amp;"_"&amp;"GINI index",'Country Stats sectors'!$A$2:$P$1393,13,0)</f>
        <v>49.755</v>
      </c>
    </row>
    <row r="51" spans="1:13" ht="12.75">
      <c r="A51" t="s">
        <v>562</v>
      </c>
      <c r="B51" s="14" t="s">
        <v>243</v>
      </c>
      <c r="C51" s="97">
        <f>VLOOKUP($B51,Descriptive!$B$3:$K$94,2,0)</f>
        <v>3.41</v>
      </c>
      <c r="D51" s="97">
        <f>VLOOKUP($B51,Descriptive!$B$3:$K$94,3,0)</f>
        <v>2.15</v>
      </c>
      <c r="E51" s="97">
        <f>VLOOKUP($B51,Descriptive!$B$3:$K$94,4,0)</f>
        <v>5.56</v>
      </c>
      <c r="F51" s="97">
        <f>VLOOKUP($B51,Descriptive!$B$3:$K$94,5,0)</f>
        <v>38.66906474820144</v>
      </c>
      <c r="G51" s="99">
        <v>2000</v>
      </c>
      <c r="H51" s="64">
        <f>VLOOKUP(B51&amp;"_"&amp;"Public spending on education, total (% of GDP)",'Country Stats sectors'!$A$2:$P$1393,9,0)</f>
        <v>4.99418816430469</v>
      </c>
      <c r="I51" s="64">
        <f>VLOOKUP(B51&amp;"_"&amp;"Health expenditure, public (% of GDP)",'Country Stats sectors'!$A$2:$P$1393,10,0)</f>
        <v>4.5632</v>
      </c>
      <c r="J51" s="66">
        <f t="shared" si="1"/>
        <v>10.88932636297537</v>
      </c>
      <c r="K51" s="64">
        <f>VLOOKUP($B51&amp;"_"&amp;"General government final consumption expenditure (% of GDP)",'Country Stats Govt'!$A$2:$P$181,10,0)</f>
        <v>21.1565780639648</v>
      </c>
      <c r="L51" s="65">
        <f>VLOOKUP($B51&amp;"_"&amp;"GDP per capita, PPP (current international $)",'Country Stats sectors'!$A$2:$P$1393,10,0)</f>
        <v>5676.58950834537</v>
      </c>
      <c r="M51" s="65" t="str">
        <f>VLOOKUP($B51&amp;"_"&amp;"GINI index",'Country Stats sectors'!$A$2:$P$1393,10,0)</f>
        <v>NA</v>
      </c>
    </row>
    <row r="52" spans="1:13" ht="12.75">
      <c r="A52" t="s">
        <v>562</v>
      </c>
      <c r="B52" s="14" t="s">
        <v>587</v>
      </c>
      <c r="C52" s="97">
        <f>VLOOKUP($B52,Descriptive!$B$3:$K$94,2,0)</f>
        <v>0.7</v>
      </c>
      <c r="D52" s="97">
        <f>VLOOKUP($B52,Descriptive!$B$3:$K$94,3,0)</f>
        <v>1.7</v>
      </c>
      <c r="E52" s="97">
        <f>VLOOKUP($B52,Descriptive!$B$3:$K$94,4,0)</f>
        <v>2.4</v>
      </c>
      <c r="F52" s="97">
        <f>VLOOKUP($B52,Descriptive!$B$3:$K$94,5,0)</f>
        <v>70.83333333333334</v>
      </c>
      <c r="G52" s="98">
        <f>VLOOKUP($B52,Descriptive!$B$3:$K$94,6,0)</f>
        <v>2004</v>
      </c>
      <c r="H52" s="64" t="e">
        <f>VLOOKUP(B52&amp;"_"&amp;"Public spending on education, total (% of GDP)",'Country Stats sectors'!$A$2:$P$1393,14,0)</f>
        <v>#N/A</v>
      </c>
      <c r="I52" s="64" t="e">
        <f>VLOOKUP(B52&amp;"_"&amp;"Health expenditure, public (% of GDP)",'Country Stats sectors'!$A$2:$P$1393,14,0)</f>
        <v>#N/A</v>
      </c>
      <c r="J52" s="66" t="str">
        <f t="shared" si="1"/>
        <v>NA</v>
      </c>
      <c r="K52" s="64" t="e">
        <f>VLOOKUP($B52&amp;"_"&amp;"General government final consumption expenditure (% of GDP)",'Country Stats Govt'!$A$2:$P$181,14,0)</f>
        <v>#N/A</v>
      </c>
      <c r="L52" s="65" t="e">
        <f>VLOOKUP($B52&amp;"_"&amp;"GDP per capita, PPP (current international $)",'Country Stats sectors'!$A$2:$P$1393,14,0)</f>
        <v>#N/A</v>
      </c>
      <c r="M52" s="65" t="e">
        <f>VLOOKUP($B52&amp;"_"&amp;"GINI index",'Country Stats sectors'!$A$2:$P$1393,14,0)</f>
        <v>#N/A</v>
      </c>
    </row>
    <row r="53" spans="1:13" ht="12.75">
      <c r="A53" t="s">
        <v>562</v>
      </c>
      <c r="B53" s="14" t="s">
        <v>245</v>
      </c>
      <c r="C53" s="97">
        <f>VLOOKUP($B53,Descriptive!$B$3:$K$94,2,0)</f>
        <v>1.8</v>
      </c>
      <c r="D53" s="97">
        <f>VLOOKUP($B53,Descriptive!$B$3:$K$94,3,0)</f>
        <v>1.1</v>
      </c>
      <c r="E53" s="97">
        <f>VLOOKUP($B53,Descriptive!$B$3:$K$94,4,0)</f>
        <v>2.9</v>
      </c>
      <c r="F53" s="97">
        <f>VLOOKUP($B53,Descriptive!$B$3:$K$94,5,0)</f>
        <v>37.931034482758626</v>
      </c>
      <c r="G53" s="98">
        <f>VLOOKUP($B53,Descriptive!$B$3:$K$94,6,0)</f>
        <v>2004</v>
      </c>
      <c r="H53" s="64">
        <f>VLOOKUP(B53&amp;"_"&amp;"Public spending on education, total (% of GDP)",'Country Stats sectors'!$A$2:$P$1393,11,0)</f>
        <v>0.97882348813996</v>
      </c>
      <c r="I53" s="64">
        <f>VLOOKUP(B53&amp;"_"&amp;"Health expenditure, public (% of GDP)",'Country Stats sectors'!$A$2:$P$1393,14,0)</f>
        <v>2.2385</v>
      </c>
      <c r="J53" s="66">
        <f t="shared" si="1"/>
        <v>8.22932636297537</v>
      </c>
      <c r="K53" s="64">
        <f>VLOOKUP($B53&amp;"_"&amp;"General government final consumption expenditure (% of GDP)",'Country Stats Govt'!$A$2:$P$181,14,0)</f>
        <v>11.3871154785156</v>
      </c>
      <c r="L53" s="65">
        <f>VLOOKUP($B53&amp;"_"&amp;"GDP per capita, PPP (current international $)",'Country Stats sectors'!$A$2:$P$1393,14,0)</f>
        <v>4082.55477526584</v>
      </c>
      <c r="M53" s="65" t="str">
        <f>VLOOKUP($B53&amp;"_"&amp;"GINI index",'Country Stats sectors'!$A$2:$P$1393,14,0)</f>
        <v>NA</v>
      </c>
    </row>
    <row r="54" spans="1:13" ht="12.75">
      <c r="A54" t="s">
        <v>562</v>
      </c>
      <c r="B54" s="14" t="s">
        <v>127</v>
      </c>
      <c r="C54" s="97">
        <f>VLOOKUP($B54,Descriptive!$B$3:$K$94,2,0)</f>
        <v>4.2</v>
      </c>
      <c r="D54" s="97">
        <f>VLOOKUP($B54,Descriptive!$B$3:$K$94,3,0)</f>
        <v>1</v>
      </c>
      <c r="E54" s="97">
        <f>VLOOKUP($B54,Descriptive!$B$3:$K$94,4,0)</f>
        <v>5.2</v>
      </c>
      <c r="F54" s="97">
        <f>VLOOKUP($B54,Descriptive!$B$3:$K$94,5,0)</f>
        <v>19.23076923076923</v>
      </c>
      <c r="G54" s="98">
        <f>VLOOKUP($B54,Descriptive!$B$3:$K$94,6,0)</f>
        <v>2000</v>
      </c>
      <c r="H54" s="64">
        <f>VLOOKUP(B54&amp;"_"&amp;"Public spending on education, total (% of GDP)",'Country Stats sectors'!$A$2:$P$1393,10,0)</f>
        <v>2.54707979343304</v>
      </c>
      <c r="I54" s="64">
        <f>VLOOKUP(B54&amp;"_"&amp;"Health expenditure, public (% of GDP)",'Country Stats sectors'!$A$2:$P$1393,10,0)</f>
        <v>3.6</v>
      </c>
      <c r="J54" s="66">
        <f t="shared" si="1"/>
        <v>10.52932636297537</v>
      </c>
      <c r="K54" s="64">
        <f>VLOOKUP($B54&amp;"_"&amp;"General government final consumption expenditure (% of GDP)",'Country Stats Govt'!$A$2:$P$181,10,0)</f>
        <v>10.17160987854</v>
      </c>
      <c r="L54" s="65">
        <f>VLOOKUP($B54&amp;"_"&amp;"GDP per capita, PPP (current international $)",'Country Stats sectors'!$A$2:$P$1393,10,0)</f>
        <v>4596.74290215997</v>
      </c>
      <c r="M54" s="65">
        <f>VLOOKUP($B54&amp;"_"&amp;"GINI index",'Country Stats sectors'!$A$2:$P$1393,10,0)</f>
        <v>51.92</v>
      </c>
    </row>
    <row r="55" spans="1:13" ht="12.75">
      <c r="A55" t="s">
        <v>562</v>
      </c>
      <c r="B55" s="14" t="s">
        <v>246</v>
      </c>
      <c r="C55" s="97">
        <f>VLOOKUP($B55,Descriptive!$B$3:$K$94,2,0)</f>
        <v>1.8</v>
      </c>
      <c r="D55" s="97">
        <f>VLOOKUP($B55,Descriptive!$B$3:$K$94,3,0)</f>
        <v>1.6</v>
      </c>
      <c r="E55" s="97">
        <f>VLOOKUP($B55,Descriptive!$B$3:$K$94,4,0)</f>
        <v>3.4</v>
      </c>
      <c r="F55" s="97">
        <f>VLOOKUP($B55,Descriptive!$B$3:$K$94,5,0)</f>
        <v>47.05882352941177</v>
      </c>
      <c r="G55" s="98">
        <f>VLOOKUP($B55,Descriptive!$B$3:$K$94,6,0)</f>
        <v>2001</v>
      </c>
      <c r="H55" s="64">
        <f>VLOOKUP(B55&amp;"_"&amp;"Public spending on education, total (% of GDP)",'Country Stats sectors'!$A$2:$P$1393,13,0)</f>
        <v>5.20678307958058</v>
      </c>
      <c r="I55" s="64">
        <f>VLOOKUP(B55&amp;"_"&amp;"Health expenditure, public (% of GDP)",'Country Stats sectors'!$A$2:$P$1393,11,0)</f>
        <v>5.9204</v>
      </c>
      <c r="J55" s="66">
        <f t="shared" si="1"/>
        <v>8.72932636297537</v>
      </c>
      <c r="K55" s="64">
        <f>VLOOKUP($B55&amp;"_"&amp;"General government final consumption expenditure (% of GDP)",'Country Stats Govt'!$A$2:$P$181,11,0)</f>
        <v>17.2863788604736</v>
      </c>
      <c r="L55" s="65">
        <f>VLOOKUP($B55&amp;"_"&amp;"GDP per capita, PPP (current international $)",'Country Stats sectors'!$A$2:$P$1393,11,0)</f>
        <v>7039.11683853372</v>
      </c>
      <c r="M55" s="65" t="str">
        <f>VLOOKUP($B55&amp;"_"&amp;"GINI index",'Country Stats sectors'!$A$2:$P$1393,11,0)</f>
        <v>NA</v>
      </c>
    </row>
    <row r="56" spans="1:13" ht="12.75">
      <c r="A56" t="s">
        <v>562</v>
      </c>
      <c r="B56" s="14" t="s">
        <v>247</v>
      </c>
      <c r="C56" s="97">
        <f>VLOOKUP($B56,Descriptive!$B$3:$K$94,2,0)</f>
        <v>0.7</v>
      </c>
      <c r="D56" s="97">
        <f>VLOOKUP($B56,Descriptive!$B$3:$K$94,3,0)</f>
        <v>1.1</v>
      </c>
      <c r="E56" s="97">
        <f>VLOOKUP($B56,Descriptive!$B$3:$K$94,4,0)</f>
        <v>1.8</v>
      </c>
      <c r="F56" s="97">
        <f>VLOOKUP($B56,Descriptive!$B$3:$K$94,5,0)</f>
        <v>61.111111111111114</v>
      </c>
      <c r="G56" s="98">
        <f>VLOOKUP($B56,Descriptive!$B$3:$K$94,6,0)</f>
        <v>2000</v>
      </c>
      <c r="H56" s="64" t="str">
        <f>VLOOKUP(B56&amp;"_"&amp;"Public spending on education, total (% of GDP)",'Country Stats sectors'!$A$2:$P$1393,10,0)</f>
        <v>NA</v>
      </c>
      <c r="I56" s="64">
        <f>VLOOKUP(B56&amp;"_"&amp;"Health expenditure, public (% of GDP)",'Country Stats sectors'!$A$2:$P$1393,10,0)</f>
        <v>2.189</v>
      </c>
      <c r="J56" s="66" t="str">
        <f t="shared" si="1"/>
        <v>NA</v>
      </c>
      <c r="K56" s="64">
        <f>VLOOKUP($B56&amp;"_"&amp;"General government final consumption expenditure (% of GDP)",'Country Stats Govt'!$A$2:$P$181,10,0)</f>
        <v>7.00261497497559</v>
      </c>
      <c r="L56" s="65">
        <f>VLOOKUP($B56&amp;"_"&amp;"GDP per capita, PPP (current international $)",'Country Stats sectors'!$A$2:$P$1393,10,0)</f>
        <v>4048.29632014157</v>
      </c>
      <c r="M56" s="65">
        <f>VLOOKUP($B56&amp;"_"&amp;"GINI index",'Country Stats sectors'!$A$2:$P$1393,10,0)</f>
        <v>54.97</v>
      </c>
    </row>
    <row r="57" spans="1:13" ht="12.75">
      <c r="A57" t="s">
        <v>562</v>
      </c>
      <c r="B57" s="14" t="s">
        <v>248</v>
      </c>
      <c r="C57" s="97" t="str">
        <f>VLOOKUP($B57,Descriptive!$B$3:$K$94,2,0)</f>
        <v>NA</v>
      </c>
      <c r="D57" s="97" t="str">
        <f>VLOOKUP($B57,Descriptive!$B$3:$K$94,3,0)</f>
        <v>NA</v>
      </c>
      <c r="E57" s="97">
        <f>VLOOKUP($B57,Descriptive!$B$3:$K$94,4,0)</f>
        <v>2</v>
      </c>
      <c r="F57" s="97" t="str">
        <f>VLOOKUP($B57,Descriptive!$B$3:$K$94,5,0)</f>
        <v>NA</v>
      </c>
      <c r="G57" s="98">
        <f>VLOOKUP($B57,Descriptive!$B$3:$K$94,6,0)</f>
        <v>2000</v>
      </c>
      <c r="H57" s="64">
        <f>VLOOKUP(B57&amp;"_"&amp;"Public spending on education, total (% of GDP)",'Country Stats sectors'!$A$2:$P$1393,10,0)</f>
        <v>8.48492826103308</v>
      </c>
      <c r="I57" s="64">
        <f>VLOOKUP(B57&amp;"_"&amp;"Health expenditure, public (% of GDP)",'Country Stats sectors'!$A$2:$P$1393,10,0)</f>
        <v>4.6475</v>
      </c>
      <c r="J57" s="66">
        <f t="shared" si="1"/>
        <v>7.329326362975371</v>
      </c>
      <c r="K57" s="64">
        <f>VLOOKUP($B57&amp;"_"&amp;"General government final consumption expenditure (% of GDP)",'Country Stats Govt'!$A$2:$P$181,10,0)</f>
        <v>24.6721057891846</v>
      </c>
      <c r="L57" s="65">
        <f>VLOOKUP($B57&amp;"_"&amp;"GDP per capita, PPP (current international $)",'Country Stats sectors'!$A$2:$P$1393,10,0)</f>
        <v>3922.38638668661</v>
      </c>
      <c r="M57" s="65">
        <f>VLOOKUP($B57&amp;"_"&amp;"GINI index",'Country Stats sectors'!$A$2:$P$1393,9,0)</f>
        <v>43.2</v>
      </c>
    </row>
    <row r="58" spans="1:13" ht="12.75">
      <c r="A58" t="s">
        <v>562</v>
      </c>
      <c r="B58" s="14" t="s">
        <v>249</v>
      </c>
      <c r="C58" s="97">
        <f>VLOOKUP($B58,Descriptive!$B$3:$K$94,2,0)</f>
        <v>1.6</v>
      </c>
      <c r="D58" s="97">
        <f>VLOOKUP($B58,Descriptive!$B$3:$K$94,3,0)</f>
        <v>2.5</v>
      </c>
      <c r="E58" s="97">
        <f>VLOOKUP($B58,Descriptive!$B$3:$K$94,4,0)</f>
        <v>4.1</v>
      </c>
      <c r="F58" s="97">
        <f>VLOOKUP($B58,Descriptive!$B$3:$K$94,5,0)</f>
        <v>60.97560975609757</v>
      </c>
      <c r="G58" s="98">
        <f>VLOOKUP($B58,Descriptive!$B$3:$K$94,6,0)</f>
        <v>1999</v>
      </c>
      <c r="H58" s="64" t="str">
        <f>VLOOKUP(B58&amp;"_"&amp;"Public spending on education, total (% of GDP)",'Country Stats sectors'!$A$2:$P$1393,9,0)</f>
        <v>NA</v>
      </c>
      <c r="I58" s="64">
        <f>VLOOKUP(B58&amp;"_"&amp;"Health expenditure, public (% of GDP)",'Country Stats sectors'!$A$2:$P$1393,10,0)</f>
        <v>3.5776</v>
      </c>
      <c r="J58" s="66" t="str">
        <f t="shared" si="1"/>
        <v>NA</v>
      </c>
      <c r="K58" s="64">
        <f>VLOOKUP($B58&amp;"_"&amp;"General government final consumption expenditure (% of GDP)",'Country Stats Govt'!$A$2:$P$181,9,0)</f>
        <v>11.3183565139771</v>
      </c>
      <c r="L58" s="65">
        <f>VLOOKUP($B58&amp;"_"&amp;"GDP per capita, PPP (current international $)",'Country Stats sectors'!$A$2:$P$1393,9,0)</f>
        <v>2725.18922961544</v>
      </c>
      <c r="M58" s="65">
        <f>VLOOKUP($B58&amp;"_"&amp;"GINI index",'Country Stats sectors'!$A$2:$P$1393,9,0)</f>
        <v>56.24</v>
      </c>
    </row>
    <row r="59" spans="1:13" ht="12.75">
      <c r="A59" t="s">
        <v>562</v>
      </c>
      <c r="B59" s="14" t="s">
        <v>250</v>
      </c>
      <c r="C59" s="97">
        <f>VLOOKUP($B59,Descriptive!$B$3:$K$94,2,0)</f>
        <v>1.01</v>
      </c>
      <c r="D59" s="97">
        <f>VLOOKUP($B59,Descriptive!$B$3:$K$94,3,0)</f>
        <v>0.76</v>
      </c>
      <c r="E59" s="97">
        <f>VLOOKUP($B59,Descriptive!$B$3:$K$94,4,0)</f>
        <v>1.77</v>
      </c>
      <c r="F59" s="97">
        <f>VLOOKUP($B59,Descriptive!$B$3:$K$94,5,0)</f>
        <v>42.93785310734463</v>
      </c>
      <c r="G59" s="99">
        <v>2005</v>
      </c>
      <c r="H59" s="64">
        <f>VLOOKUP(B59&amp;"_"&amp;"Public spending on education, total (% of GDP)",'Country Stats sectors'!$A$2:$P$1393,15,0)</f>
        <v>5.28964376120452</v>
      </c>
      <c r="I59" s="64">
        <f>VLOOKUP(B59&amp;"_"&amp;"Health expenditure, public (% of GDP)",'Country Stats sectors'!$A$2:$P$1393,14,0)</f>
        <v>2.8236</v>
      </c>
      <c r="J59" s="66">
        <f t="shared" si="1"/>
        <v>7.09932636297537</v>
      </c>
      <c r="K59" s="64">
        <f>VLOOKUP($B59&amp;"_"&amp;"General government final consumption expenditure (% of GDP)",'Country Stats Govt'!$A$2:$P$181,15,0)</f>
        <v>15.1161613464355</v>
      </c>
      <c r="L59" s="65">
        <f>VLOOKUP($B59&amp;"_"&amp;"GDP per capita, PPP (current international $)",'Country Stats sectors'!$A$2:$P$1393,15,0)</f>
        <v>4292.51924791356</v>
      </c>
      <c r="M59" s="65">
        <f>VLOOKUP($B59&amp;"_"&amp;"GINI index",'Country Stats sectors'!$A$2:$P$1393,14,0)</f>
        <v>45.508</v>
      </c>
    </row>
    <row r="60" spans="1:13" ht="12.75">
      <c r="A60" t="s">
        <v>562</v>
      </c>
      <c r="B60" s="14" t="s">
        <v>251</v>
      </c>
      <c r="C60" s="97">
        <f>VLOOKUP($B60,Descriptive!$B$3:$K$94,2,0)</f>
        <v>2.6</v>
      </c>
      <c r="D60" s="97">
        <f>VLOOKUP($B60,Descriptive!$B$3:$K$94,3,0)</f>
        <v>1</v>
      </c>
      <c r="E60" s="97">
        <f>VLOOKUP($B60,Descriptive!$B$3:$K$94,4,0)</f>
        <v>3.5</v>
      </c>
      <c r="F60" s="97">
        <f>VLOOKUP($B60,Descriptive!$B$3:$K$94,5,0)</f>
        <v>28.57142857142857</v>
      </c>
      <c r="G60" s="98">
        <f>VLOOKUP($B60,Descriptive!$B$3:$K$94,6,0)</f>
        <v>2002</v>
      </c>
      <c r="H60" s="64">
        <f>VLOOKUP(B60&amp;"_"&amp;"Public spending on education, total (% of GDP)",'Country Stats sectors'!$A$2:$P$1393,12,0)</f>
        <v>5.29938345224888</v>
      </c>
      <c r="I60" s="64">
        <f>VLOOKUP(B60&amp;"_"&amp;"Health expenditure, public (% of GDP)",'Country Stats sectors'!$A$2:$P$1393,12,0)</f>
        <v>2.7218</v>
      </c>
      <c r="J60" s="66">
        <f t="shared" si="1"/>
        <v>8.82932636297537</v>
      </c>
      <c r="K60" s="64">
        <f>VLOOKUP($B60&amp;"_"&amp;"General government final consumption expenditure (% of GDP)",'Country Stats Govt'!$A$2:$P$181,12,0)</f>
        <v>12.1239643096924</v>
      </c>
      <c r="L60" s="65">
        <f>VLOOKUP($B60&amp;"_"&amp;"GDP per capita, PPP (current international $)",'Country Stats sectors'!$A$2:$P$1393,12,0)</f>
        <v>9518.06460669489</v>
      </c>
      <c r="M60" s="65">
        <f>VLOOKUP($B60&amp;"_"&amp;"GINI index",'Country Stats sectors'!$A$2:$P$1393,12,0)</f>
        <v>49.68</v>
      </c>
    </row>
    <row r="61" spans="1:13" ht="12.75">
      <c r="A61" t="s">
        <v>562</v>
      </c>
      <c r="B61" s="14" t="s">
        <v>252</v>
      </c>
      <c r="C61" s="97">
        <f>VLOOKUP($B61,Descriptive!$B$3:$K$94,2,0)</f>
        <v>5.4</v>
      </c>
      <c r="D61" s="97">
        <f>VLOOKUP($B61,Descriptive!$B$3:$K$94,3,0)</f>
        <v>1.1</v>
      </c>
      <c r="E61" s="97">
        <f>VLOOKUP($B61,Descriptive!$B$3:$K$94,4,0)</f>
        <v>6.5</v>
      </c>
      <c r="F61" s="97">
        <f>VLOOKUP($B61,Descriptive!$B$3:$K$94,5,0)</f>
        <v>16.923076923076923</v>
      </c>
      <c r="G61" s="98">
        <f>VLOOKUP($B61,Descriptive!$B$3:$K$94,6,0)</f>
        <v>2000</v>
      </c>
      <c r="H61" s="64">
        <f>VLOOKUP(B61&amp;"_"&amp;"Public spending on education, total (% of GDP)",'Country Stats sectors'!$A$2:$P$1393,10,0)</f>
        <v>3.89453891688052</v>
      </c>
      <c r="I61" s="64">
        <f>VLOOKUP(B61&amp;"_"&amp;"Health expenditure, public (% of GDP)",'Country Stats sectors'!$A$2:$P$1393,10,0)</f>
        <v>3.7275</v>
      </c>
      <c r="J61" s="66">
        <f t="shared" si="1"/>
        <v>11.82932636297537</v>
      </c>
      <c r="K61" s="64">
        <f>VLOOKUP($B61&amp;"_"&amp;"General government final consumption expenditure (% of GDP)",'Country Stats Govt'!$A$2:$P$181,10,0)</f>
        <v>12.2395496368408</v>
      </c>
      <c r="L61" s="65">
        <f>VLOOKUP($B61&amp;"_"&amp;"GDP per capita, PPP (current international $)",'Country Stats sectors'!$A$2:$P$1393,10,0)</f>
        <v>3131.34072546117</v>
      </c>
      <c r="M61" s="65">
        <f>VLOOKUP($B61&amp;"_"&amp;"GINI index",'Country Stats sectors'!$A$2:$P$1393,11,0)</f>
        <v>43.11</v>
      </c>
    </row>
    <row r="62" spans="1:13" ht="12.75">
      <c r="A62" t="s">
        <v>562</v>
      </c>
      <c r="B62" s="14" t="s">
        <v>253</v>
      </c>
      <c r="C62" s="97">
        <f>VLOOKUP($B62,Descriptive!$B$3:$K$94,2,0)</f>
        <v>5</v>
      </c>
      <c r="D62" s="97">
        <f>VLOOKUP($B62,Descriptive!$B$3:$K$94,3,0)</f>
        <v>1.7</v>
      </c>
      <c r="E62" s="97">
        <f>VLOOKUP($B62,Descriptive!$B$3:$K$94,4,0)</f>
        <v>6.7</v>
      </c>
      <c r="F62" s="97">
        <f>VLOOKUP($B62,Descriptive!$B$3:$K$94,5,0)</f>
        <v>25.37313432835821</v>
      </c>
      <c r="G62" s="98">
        <f>VLOOKUP($B62,Descriptive!$B$3:$K$94,6,0)</f>
        <v>2005</v>
      </c>
      <c r="H62" s="64">
        <f>VLOOKUP(B62&amp;"_"&amp;"Public spending on education, total (% of GDP)",'Country Stats sectors'!$A$2:$P$1393,14,0)</f>
        <v>3.78258035987464</v>
      </c>
      <c r="I62" s="64">
        <f>VLOOKUP(B62&amp;"_"&amp;"Health expenditure, public (% of GDP)",'Country Stats sectors'!$A$2:$P$1393,14,0)</f>
        <v>5.1513</v>
      </c>
      <c r="J62" s="66">
        <f t="shared" si="1"/>
        <v>12.02932636297537</v>
      </c>
      <c r="K62" s="64">
        <f>VLOOKUP($B62&amp;"_"&amp;"General government final consumption expenditure (% of GDP)",'Country Stats Govt'!$A$2:$P$181,15,0)</f>
        <v>13.1354427337646</v>
      </c>
      <c r="L62" s="65">
        <f>VLOOKUP($B62&amp;"_"&amp;"GDP per capita, PPP (current international $)",'Country Stats sectors'!$A$2:$P$1393,15,0)</f>
        <v>7643.8598105469</v>
      </c>
      <c r="M62" s="65">
        <f>VLOOKUP($B62&amp;"_"&amp;"GINI index",'Country Stats sectors'!$A$2:$P$1393,13,0)</f>
        <v>56.08</v>
      </c>
    </row>
    <row r="63" spans="1:13" ht="12.75">
      <c r="A63" t="s">
        <v>562</v>
      </c>
      <c r="B63" s="14" t="s">
        <v>128</v>
      </c>
      <c r="C63" s="97">
        <f>VLOOKUP($B63,Descriptive!$B$3:$K$94,2,0)</f>
        <v>1.84</v>
      </c>
      <c r="D63" s="97">
        <f>VLOOKUP($B63,Descriptive!$B$3:$K$94,3,0)</f>
        <v>0.4</v>
      </c>
      <c r="E63" s="97">
        <f>VLOOKUP($B63,Descriptive!$B$3:$K$94,4,0)</f>
        <v>2.24</v>
      </c>
      <c r="F63" s="97">
        <f>VLOOKUP($B63,Descriptive!$B$3:$K$94,5,0)</f>
        <v>17.857142857142858</v>
      </c>
      <c r="G63" s="98">
        <f>VLOOKUP($B63,Descriptive!$B$3:$K$94,6,0)</f>
        <v>2000</v>
      </c>
      <c r="H63" s="64">
        <f>VLOOKUP(B63&amp;"_"&amp;"Public spending on education, total (% of GDP)",'Country Stats sectors'!$A$2:$P$1393,10,0)</f>
        <v>4.85138001498964</v>
      </c>
      <c r="I63" s="64">
        <f>VLOOKUP(B63&amp;"_"&amp;"Health expenditure, public (% of GDP)",'Country Stats sectors'!$A$2:$P$1393,10,0)</f>
        <v>3.3768</v>
      </c>
      <c r="J63" s="66">
        <f t="shared" si="1"/>
        <v>7.569326362975371</v>
      </c>
      <c r="K63" s="64">
        <f>VLOOKUP($B63&amp;"_"&amp;"General government final consumption expenditure (% of GDP)",'Country Stats Govt'!$A$2:$P$181,10,0)</f>
        <v>12.7125215530396</v>
      </c>
      <c r="L63" s="65">
        <f>VLOOKUP($B63&amp;"_"&amp;"GDP per capita, PPP (current international $)",'Country Stats sectors'!$A$2:$P$1393,10,0)</f>
        <v>4165.31274669712</v>
      </c>
      <c r="M63" s="65">
        <f>VLOOKUP($B63&amp;"_"&amp;"GINI index",'Country Stats sectors'!$A$2:$P$1393,9,0)</f>
        <v>56.85</v>
      </c>
    </row>
    <row r="64" spans="1:13" ht="12.75">
      <c r="A64" t="s">
        <v>562</v>
      </c>
      <c r="B64" s="14" t="s">
        <v>254</v>
      </c>
      <c r="C64" s="97">
        <f>VLOOKUP($B64,Descriptive!$B$3:$K$94,2,0)</f>
        <v>3.18</v>
      </c>
      <c r="D64" s="97">
        <f>VLOOKUP($B64,Descriptive!$B$3:$K$94,3,0)</f>
        <v>0.71</v>
      </c>
      <c r="E64" s="97">
        <f>VLOOKUP($B64,Descriptive!$B$3:$K$94,4,0)</f>
        <v>3.89</v>
      </c>
      <c r="F64" s="97">
        <f>VLOOKUP($B64,Descriptive!$B$3:$K$94,5,0)</f>
        <v>18.25192802056555</v>
      </c>
      <c r="G64" s="98">
        <f>VLOOKUP($B64,Descriptive!$B$3:$K$94,6,0)</f>
        <v>2005</v>
      </c>
      <c r="H64" s="64">
        <f>VLOOKUP(B64&amp;"_"&amp;"Public spending on education, total (% of GDP)",'Country Stats sectors'!$A$2:$P$1393,15,0)</f>
        <v>2.38853418666102</v>
      </c>
      <c r="I64" s="64">
        <f>VLOOKUP(B64&amp;"_"&amp;"Health expenditure, public (% of GDP)",'Country Stats sectors'!$A$2:$P$1393,14,0)</f>
        <v>1.9229</v>
      </c>
      <c r="J64" s="66">
        <f t="shared" si="1"/>
        <v>9.21932636297537</v>
      </c>
      <c r="K64" s="64">
        <f>VLOOKUP($B64&amp;"_"&amp;"General government final consumption expenditure (% of GDP)",'Country Stats Govt'!$A$2:$P$181,15,0)</f>
        <v>10.0995197296143</v>
      </c>
      <c r="L64" s="65">
        <f>VLOOKUP($B64&amp;"_"&amp;"GDP per capita, PPP (current international $)",'Country Stats sectors'!$A$2:$P$1393,15,0)</f>
        <v>6041.97841053303</v>
      </c>
      <c r="M64" s="65">
        <f>VLOOKUP($B64&amp;"_"&amp;"GINI index",'Country Stats sectors'!$A$2:$P$1393,13,0)</f>
        <v>52.02</v>
      </c>
    </row>
    <row r="65" spans="1:13" ht="12.75">
      <c r="A65" t="s">
        <v>562</v>
      </c>
      <c r="B65" s="14" t="s">
        <v>256</v>
      </c>
      <c r="C65" s="97">
        <f>VLOOKUP($B65,Descriptive!$B$3:$K$94,2,0)</f>
        <v>2.7</v>
      </c>
      <c r="D65" s="97">
        <f>VLOOKUP($B65,Descriptive!$B$3:$K$94,3,0)</f>
        <v>1</v>
      </c>
      <c r="E65" s="97">
        <f>VLOOKUP($B65,Descriptive!$B$3:$K$94,4,0)</f>
        <v>3.7</v>
      </c>
      <c r="F65" s="97">
        <f>VLOOKUP($B65,Descriptive!$B$3:$K$94,5,0)</f>
        <v>27.027027027027025</v>
      </c>
      <c r="G65" s="98">
        <f>VLOOKUP($B65,Descriptive!$B$3:$K$94,6,0)</f>
        <v>2000</v>
      </c>
      <c r="H65" s="64">
        <f>VLOOKUP(B65&amp;"_"&amp;"Public spending on education, total (% of GDP)",'Country Stats sectors'!$A$2:$P$1393,10,0)</f>
        <v>6.36610832260314</v>
      </c>
      <c r="I65" s="64">
        <f>VLOOKUP(B65&amp;"_"&amp;"Health expenditure, public (% of GDP)",'Country Stats sectors'!$A$2:$P$1393,10,0)</f>
        <v>3.5672</v>
      </c>
      <c r="J65" s="66">
        <f t="shared" si="1"/>
        <v>9.02932636297537</v>
      </c>
      <c r="K65" s="64">
        <f>VLOOKUP($B65&amp;"_"&amp;"General government final consumption expenditure (% of GDP)",'Country Stats Govt'!$A$2:$P$181,10,0)</f>
        <v>21.1284236907959</v>
      </c>
      <c r="L65" s="65">
        <f>VLOOKUP($B65&amp;"_"&amp;"GDP per capita, PPP (current international $)",'Country Stats sectors'!$A$2:$P$1393,10,0)</f>
        <v>11132.205476623</v>
      </c>
      <c r="M65" s="65" t="str">
        <f>VLOOKUP($B65&amp;"_"&amp;"GINI index",'Country Stats sectors'!$A$2:$P$1393,10,0)</f>
        <v>NA</v>
      </c>
    </row>
    <row r="66" spans="1:13" ht="12.75">
      <c r="A66" t="s">
        <v>562</v>
      </c>
      <c r="B66" s="14" t="s">
        <v>255</v>
      </c>
      <c r="C66" s="97">
        <f>VLOOKUP($B66,Descriptive!$B$3:$K$94,2,0)</f>
        <v>0.6</v>
      </c>
      <c r="D66" s="97">
        <f>VLOOKUP($B66,Descriptive!$B$3:$K$94,3,0)</f>
        <v>2</v>
      </c>
      <c r="E66" s="97">
        <f>VLOOKUP($B66,Descriptive!$B$3:$K$94,4,0)</f>
        <v>2.6</v>
      </c>
      <c r="F66" s="97">
        <f>VLOOKUP($B66,Descriptive!$B$3:$K$94,5,0)</f>
        <v>76.92307692307692</v>
      </c>
      <c r="G66" s="99">
        <v>2000</v>
      </c>
      <c r="H66" s="64">
        <f>VLOOKUP(B66&amp;"_"&amp;"Public spending on education, total (% of GDP)",'Country Stats sectors'!$A$2:$P$1393,10,0)</f>
        <v>7.54090239829994</v>
      </c>
      <c r="I66" s="64">
        <f>VLOOKUP(B66&amp;"_"&amp;"Health expenditure, public (% of GDP)",'Country Stats sectors'!$A$2:$P$1393,10,0)</f>
        <v>3.3323</v>
      </c>
      <c r="J66" s="66">
        <f aca="true" t="shared" si="2" ref="J66:J88">IF(ISERROR($E66+$H66+$I66),"NA",$E66+H$2+I$2)</f>
        <v>7.92932636297537</v>
      </c>
      <c r="K66" s="64">
        <f>VLOOKUP($B66&amp;"_"&amp;"General government final consumption expenditure (% of GDP)",'Country Stats Govt'!$A$2:$P$181,10,0)</f>
        <v>23.2427825927734</v>
      </c>
      <c r="L66" s="65">
        <f>VLOOKUP($B66&amp;"_"&amp;"GDP per capita, PPP (current international $)",'Country Stats sectors'!$A$2:$P$1393,10,0)</f>
        <v>5897.00449648663</v>
      </c>
      <c r="M66" s="65" t="str">
        <f>VLOOKUP($B66&amp;"_"&amp;"GINI index",'Country Stats sectors'!$A$2:$P$1393,10,0)</f>
        <v>NA</v>
      </c>
    </row>
    <row r="67" spans="1:13" ht="12.75">
      <c r="A67" t="s">
        <v>562</v>
      </c>
      <c r="B67" s="14" t="s">
        <v>524</v>
      </c>
      <c r="C67" s="97">
        <f>VLOOKUP($B67,Descriptive!$B$3:$K$94,2,0)</f>
        <v>1.2816</v>
      </c>
      <c r="D67" s="97">
        <f>VLOOKUP($B67,Descriptive!$B$3:$K$94,3,0)</f>
        <v>2.3184</v>
      </c>
      <c r="E67" s="97">
        <f>VLOOKUP($B67,Descriptive!$B$3:$K$94,4,0)</f>
        <v>3.6</v>
      </c>
      <c r="F67" s="97">
        <f>VLOOKUP($B67,Descriptive!$B$3:$K$94,5,0)</f>
        <v>64.4</v>
      </c>
      <c r="G67" s="98">
        <f>VLOOKUP($B67,Descriptive!$B$3:$K$94,6,0)</f>
        <v>2002</v>
      </c>
      <c r="H67" s="64">
        <f>VLOOKUP(B67&amp;"_"&amp;"Public spending on education, total (% of GDP)",'Country Stats sectors'!$A$2:$P$1393,12,0)</f>
        <v>9.85789837892604</v>
      </c>
      <c r="I67" s="64">
        <f>VLOOKUP(B67&amp;"_"&amp;"Health expenditure, public (% of GDP)",'Country Stats sectors'!$A$2:$P$1393,12,0)</f>
        <v>4.0748</v>
      </c>
      <c r="J67" s="66">
        <f t="shared" si="2"/>
        <v>8.92932636297537</v>
      </c>
      <c r="K67" s="64">
        <f>VLOOKUP($B67&amp;"_"&amp;"General government final consumption expenditure (% of GDP)",'Country Stats Govt'!$A$2:$P$181,12,0)</f>
        <v>20.9726448059082</v>
      </c>
      <c r="L67" s="65">
        <f>VLOOKUP($B67&amp;"_"&amp;"GDP per capita, PPP (current international $)",'Country Stats sectors'!$A$2:$P$1393,12,0)</f>
        <v>5469.93031014945</v>
      </c>
      <c r="M67" s="65" t="str">
        <f>VLOOKUP($B67&amp;"_"&amp;"GINI index",'Country Stats sectors'!$A$2:$P$1393,12,0)</f>
        <v>NA</v>
      </c>
    </row>
    <row r="68" spans="1:13" ht="12.75">
      <c r="A68" t="s">
        <v>562</v>
      </c>
      <c r="B68" s="14" t="s">
        <v>257</v>
      </c>
      <c r="C68" s="97">
        <f>VLOOKUP($B68,Descriptive!$B$3:$K$94,2,0)</f>
        <v>9.6</v>
      </c>
      <c r="D68" s="97">
        <f>VLOOKUP($B68,Descriptive!$B$3:$K$94,3,0)</f>
        <v>0.5</v>
      </c>
      <c r="E68" s="97">
        <f>VLOOKUP($B68,Descriptive!$B$3:$K$94,4,0)</f>
        <v>10.1</v>
      </c>
      <c r="F68" s="97">
        <f>VLOOKUP($B68,Descriptive!$B$3:$K$94,5,0)</f>
        <v>4.9504950495049505</v>
      </c>
      <c r="G68" s="98">
        <f>VLOOKUP($B68,Descriptive!$B$3:$K$94,6,0)</f>
        <v>2005</v>
      </c>
      <c r="H68" s="64">
        <f>VLOOKUP(B68&amp;"_"&amp;"Public spending on education, total (% of GDP)",'Country Stats sectors'!$A$2:$P$1393,14,0)</f>
        <v>2.5887174483891</v>
      </c>
      <c r="I68" s="64">
        <f>VLOOKUP(B68&amp;"_"&amp;"Health expenditure, public (% of GDP)",'Country Stats sectors'!$A$2:$P$1393,14,0)</f>
        <v>3.567</v>
      </c>
      <c r="J68" s="66">
        <f t="shared" si="2"/>
        <v>15.42932636297537</v>
      </c>
      <c r="K68" s="64">
        <f>VLOOKUP($B68&amp;"_"&amp;"General government final consumption expenditure (% of GDP)",'Country Stats Govt'!$A$2:$P$181,15,0)</f>
        <v>11.2864799499512</v>
      </c>
      <c r="L68" s="65">
        <f>VLOOKUP($B68&amp;"_"&amp;"GDP per capita, PPP (current international $)",'Country Stats sectors'!$A$2:$P$1393,15,0)</f>
        <v>10419.1355445793</v>
      </c>
      <c r="M68" s="65">
        <f>VLOOKUP($B68&amp;"_"&amp;"GINI index",'Country Stats sectors'!$A$2:$P$1393,13,0)</f>
        <v>44.855</v>
      </c>
    </row>
    <row r="69" spans="1:13" ht="12.75">
      <c r="A69" t="s">
        <v>562</v>
      </c>
      <c r="B69" s="14" t="s">
        <v>534</v>
      </c>
      <c r="C69" s="97">
        <f>VLOOKUP($B69,Descriptive!$B$3:$K$94,2,0)</f>
        <v>1.07</v>
      </c>
      <c r="D69" s="97">
        <f>VLOOKUP($B69,Descriptive!$B$3:$K$94,3,0)</f>
        <v>0.64</v>
      </c>
      <c r="E69" s="97">
        <f>VLOOKUP($B69,Descriptive!$B$3:$K$94,4,0)</f>
        <v>1.71</v>
      </c>
      <c r="F69" s="97">
        <f>VLOOKUP($B69,Descriptive!$B$3:$K$94,5,0)</f>
        <v>37.42690058479533</v>
      </c>
      <c r="G69" s="98">
        <f>VLOOKUP($B69,Descriptive!$B$3:$K$94,6,0)</f>
        <v>1998</v>
      </c>
      <c r="H69" s="64" t="str">
        <f>VLOOKUP(B69&amp;"_"&amp;"Public spending on education, total (% of GDP)",'Country Stats sectors'!$A$2:$P$1393,8,0)</f>
        <v>NA</v>
      </c>
      <c r="I69" s="64">
        <f>VLOOKUP(B69&amp;"_"&amp;"Health expenditure, public (% of GDP)",'Country Stats sectors'!$A$2:$P$1393,10,0)</f>
        <v>3.3728</v>
      </c>
      <c r="J69" s="66" t="str">
        <f t="shared" si="2"/>
        <v>NA</v>
      </c>
      <c r="K69" s="64">
        <f>VLOOKUP($B69&amp;"_"&amp;"General government final consumption expenditure (% of GDP)",'Country Stats Govt'!$A$2:$P$181,8,0)</f>
        <v>13.4677152633667</v>
      </c>
      <c r="L69" s="65">
        <f>VLOOKUP($B69&amp;"_"&amp;"GDP per capita, PPP (current international $)",'Country Stats sectors'!$A$2:$P$1393,8,0)</f>
        <v>5916.67484006095</v>
      </c>
      <c r="M69" s="65">
        <f>VLOOKUP($B69&amp;"_"&amp;"GINI index",'Country Stats sectors'!$A$2:$P$1393,8,0)</f>
        <v>49.53</v>
      </c>
    </row>
    <row r="70" spans="1:13" ht="12.75">
      <c r="A70" t="s">
        <v>561</v>
      </c>
      <c r="B70" s="14" t="s">
        <v>196</v>
      </c>
      <c r="C70" s="97">
        <f>VLOOKUP($B70,Descriptive!$B$3:$K$94,2,0)</f>
        <v>5</v>
      </c>
      <c r="D70" s="97">
        <f>VLOOKUP($B70,Descriptive!$B$3:$K$94,3,0)</f>
        <v>3.7</v>
      </c>
      <c r="E70" s="97">
        <f>VLOOKUP($B70,Descriptive!$B$3:$K$94,4,0)</f>
        <v>8.7</v>
      </c>
      <c r="F70" s="97">
        <f>VLOOKUP($B70,Descriptive!$B$3:$K$94,5,0)</f>
        <v>42.52873563218391</v>
      </c>
      <c r="G70" s="98">
        <f>VLOOKUP($B70,Descriptive!$B$3:$K$94,6,0)</f>
        <v>2000</v>
      </c>
      <c r="H70" s="64" t="str">
        <f>VLOOKUP(B70&amp;"_"&amp;"Public spending on education, total (% of GDP)",'Country Stats sectors'!$A$2:$P$1393,10,0)</f>
        <v>NA</v>
      </c>
      <c r="I70" s="64">
        <f>VLOOKUP(B70&amp;"_"&amp;"Health expenditure, public (% of GDP)",'Country Stats sectors'!$A$2:$P$1393,10,0)</f>
        <v>2.5655</v>
      </c>
      <c r="J70" s="66" t="str">
        <f t="shared" si="2"/>
        <v>NA</v>
      </c>
      <c r="K70" s="64">
        <f>VLOOKUP($B70&amp;"_"&amp;"General government final consumption expenditure (% of GDP)",'Country Stats Govt'!$A$2:$P$181,10,0)</f>
        <v>13.5831212997437</v>
      </c>
      <c r="L70" s="65">
        <f>VLOOKUP($B70&amp;"_"&amp;"GDP per capita, PPP (current international $)",'Country Stats sectors'!$A$2:$P$1393,10,0)</f>
        <v>5326.78881308246</v>
      </c>
      <c r="M70" s="65" t="str">
        <f>VLOOKUP($B70&amp;"_"&amp;"GINI index",'Country Stats sectors'!$A$2:$P$1393,10,0)</f>
        <v>NA</v>
      </c>
    </row>
    <row r="71" spans="1:13" ht="12.75">
      <c r="A71" t="s">
        <v>561</v>
      </c>
      <c r="B71" s="3" t="s">
        <v>197</v>
      </c>
      <c r="C71" s="97">
        <f>VLOOKUP($B71,Descriptive!$B$3:$K$94,2,0)</f>
        <v>1.39</v>
      </c>
      <c r="D71" s="97" t="str">
        <f>VLOOKUP($B71,Descriptive!$B$3:$K$94,3,0)</f>
        <v>NA</v>
      </c>
      <c r="E71" s="97" t="str">
        <f>VLOOKUP($B71,Descriptive!$B$3:$K$94,4,0)</f>
        <v>NA</v>
      </c>
      <c r="F71" s="97" t="str">
        <f>VLOOKUP($B71,Descriptive!$B$3:$K$94,5,0)</f>
        <v>NA</v>
      </c>
      <c r="G71" s="98">
        <f>VLOOKUP($B71,Descriptive!$B$3:$K$94,6,0)</f>
        <v>2000</v>
      </c>
      <c r="H71" s="64" t="str">
        <f>VLOOKUP(B71&amp;"_"&amp;"Public spending on education, total (% of GDP)",'Country Stats sectors'!$A$2:$P$1393,10,0)</f>
        <v>NA</v>
      </c>
      <c r="I71" s="64">
        <f>VLOOKUP(B71&amp;"_"&amp;"Health expenditure, public (% of GDP)",'Country Stats sectors'!$A$2:$P$1393,10,0)</f>
        <v>2.7</v>
      </c>
      <c r="J71" s="66" t="str">
        <f t="shared" si="2"/>
        <v>NA</v>
      </c>
      <c r="K71" s="64">
        <f>VLOOKUP($B71&amp;"_"&amp;"General government final consumption expenditure (% of GDP)",'Country Stats Govt'!$A$2:$P$181,10,0)</f>
        <v>17.5514698028564</v>
      </c>
      <c r="L71" s="65">
        <f>VLOOKUP($B71&amp;"_"&amp;"GDP per capita, PPP (current international $)",'Country Stats sectors'!$A$2:$P$1393,10,0)</f>
        <v>15545.4745634315</v>
      </c>
      <c r="M71" s="65" t="str">
        <f>VLOOKUP($B71&amp;"_"&amp;"GINI index",'Country Stats sectors'!$A$2:$P$1393,10,0)</f>
        <v>NA</v>
      </c>
    </row>
    <row r="72" spans="1:13" ht="12.75">
      <c r="A72" t="s">
        <v>561</v>
      </c>
      <c r="B72" s="3" t="s">
        <v>198</v>
      </c>
      <c r="C72" s="97">
        <f>VLOOKUP($B72,Descriptive!$B$3:$K$94,2,0)</f>
        <v>5.1</v>
      </c>
      <c r="D72" s="97">
        <f>VLOOKUP($B72,Descriptive!$B$3:$K$94,3,0)</f>
        <v>4.9</v>
      </c>
      <c r="E72" s="97">
        <f>VLOOKUP($B72,Descriptive!$B$3:$K$94,4,0)</f>
        <v>10</v>
      </c>
      <c r="F72" s="97">
        <f>VLOOKUP($B72,Descriptive!$B$3:$K$94,5,0)</f>
        <v>49.00000000000001</v>
      </c>
      <c r="G72" s="98">
        <f>VLOOKUP($B72,Descriptive!$B$3:$K$94,6,0)</f>
        <v>2003</v>
      </c>
      <c r="H72" s="64">
        <f>VLOOKUP(B72&amp;"_"&amp;"Public spending on education, total (% of GDP)",'Country Stats sectors'!$A$2:$P$1393,14,0)</f>
        <v>6.09568723755719</v>
      </c>
      <c r="I72" s="64">
        <f>VLOOKUP(B72&amp;"_"&amp;"Health expenditure, public (% of GDP)",'Country Stats sectors'!$A$2:$P$1393,13,0)</f>
        <v>3.9825</v>
      </c>
      <c r="J72" s="66">
        <f t="shared" si="2"/>
        <v>15.32932636297537</v>
      </c>
      <c r="K72" s="64">
        <f>VLOOKUP($B72&amp;"_"&amp;"General government final consumption expenditure (% of GDP)",'Country Stats Govt'!$A$2:$P$181,13,0)</f>
        <v>29.2882633209229</v>
      </c>
      <c r="L72" s="65">
        <f>VLOOKUP($B72&amp;"_"&amp;"GDP per capita, PPP (current international $)",'Country Stats sectors'!$A$2:$P$1393,13,0)</f>
        <v>1993.0071056507</v>
      </c>
      <c r="M72" s="65" t="str">
        <f>VLOOKUP($B72&amp;"_"&amp;"GINI index",'Country Stats sectors'!$A$2:$P$1393,13,0)</f>
        <v>NA</v>
      </c>
    </row>
    <row r="73" spans="1:13" ht="12.75">
      <c r="A73" t="s">
        <v>561</v>
      </c>
      <c r="B73" s="14" t="s">
        <v>586</v>
      </c>
      <c r="C73" s="97">
        <f>VLOOKUP($B73,Descriptive!$B$3:$K$94,2,0)</f>
        <v>2.7</v>
      </c>
      <c r="D73" s="97">
        <f>VLOOKUP($B73,Descriptive!$B$3:$K$94,3,0)</f>
        <v>1.61</v>
      </c>
      <c r="E73" s="97">
        <f>VLOOKUP($B73,Descriptive!$B$3:$K$94,4,0)</f>
        <v>4.31</v>
      </c>
      <c r="F73" s="97">
        <f>VLOOKUP($B73,Descriptive!$B$3:$K$94,5,0)</f>
        <v>37.35498839907193</v>
      </c>
      <c r="G73" s="99">
        <v>2000</v>
      </c>
      <c r="H73" s="64" t="e">
        <f>VLOOKUP(B73&amp;"_"&amp;"Public spending on education, total (% of GDP)",'Country Stats sectors'!$A$2:$P$1393,10,0)</f>
        <v>#N/A</v>
      </c>
      <c r="I73" s="64" t="e">
        <f>VLOOKUP(B73&amp;"_"&amp;"Health expenditure, public (% of GDP)",'Country Stats sectors'!$A$2:$P$1393,10,0)</f>
        <v>#N/A</v>
      </c>
      <c r="J73" s="66" t="str">
        <f t="shared" si="2"/>
        <v>NA</v>
      </c>
      <c r="K73" s="64" t="e">
        <f>VLOOKUP($B73&amp;"_"&amp;"General government final consumption expenditure (% of GDP)",'Country Stats Govt'!$A$2:$P$181,10,0)</f>
        <v>#N/A</v>
      </c>
      <c r="L73" s="65" t="e">
        <f>VLOOKUP($B73&amp;"_"&amp;"GDP per capita, PPP (current international $)",'Country Stats sectors'!$A$2:$P$1393,10,0)</f>
        <v>#N/A</v>
      </c>
      <c r="M73" s="65" t="e">
        <f>VLOOKUP($B73&amp;"_"&amp;"GINI index",'Country Stats sectors'!$A$2:$P$1393,10,0)</f>
        <v>#N/A</v>
      </c>
    </row>
    <row r="74" spans="1:13" ht="12.75">
      <c r="A74" t="s">
        <v>561</v>
      </c>
      <c r="B74" s="14" t="s">
        <v>480</v>
      </c>
      <c r="C74" s="97">
        <f>VLOOKUP($B74,Descriptive!$B$3:$K$94,2,0)</f>
        <v>1.12</v>
      </c>
      <c r="D74" s="97">
        <f>VLOOKUP($B74,Descriptive!$B$3:$K$94,3,0)</f>
        <v>2.7</v>
      </c>
      <c r="E74" s="97">
        <f>VLOOKUP($B74,Descriptive!$B$3:$K$94,4,0)</f>
        <v>3.82</v>
      </c>
      <c r="F74" s="97">
        <f>VLOOKUP($B74,Descriptive!$B$3:$K$94,5,0)</f>
        <v>70.68062827225131</v>
      </c>
      <c r="G74" s="98">
        <f>VLOOKUP($B74,Descriptive!$B$3:$K$94,6,0)</f>
        <v>2000</v>
      </c>
      <c r="H74" s="64">
        <f>VLOOKUP(B74&amp;"_"&amp;"Public spending on education, total (% of GDP)",'Country Stats sectors'!$A$2:$P$1393,10,0)</f>
        <v>4.34888261106555</v>
      </c>
      <c r="I74" s="64">
        <f>VLOOKUP(B74&amp;"_"&amp;"Health expenditure, public (% of GDP)",'Country Stats sectors'!$A$2:$P$1393,10,0)</f>
        <v>2.296</v>
      </c>
      <c r="J74" s="66">
        <f t="shared" si="2"/>
        <v>9.14932636297537</v>
      </c>
      <c r="K74" s="64">
        <f>VLOOKUP($B74&amp;"_"&amp;"General government final consumption expenditure (% of GDP)",'Country Stats Govt'!$A$2:$P$181,10,0)</f>
        <v>13.8773031234741</v>
      </c>
      <c r="L74" s="65">
        <f>VLOOKUP($B74&amp;"_"&amp;"GDP per capita, PPP (current international $)",'Country Stats sectors'!$A$2:$P$1393,10,0)</f>
        <v>5806.3374985323</v>
      </c>
      <c r="M74" s="65">
        <f>VLOOKUP($B74&amp;"_"&amp;"GINI index",'Country Stats sectors'!$A$2:$P$1393,8,0)</f>
        <v>43</v>
      </c>
    </row>
    <row r="75" spans="1:13" ht="12.75">
      <c r="A75" t="s">
        <v>561</v>
      </c>
      <c r="B75" s="14" t="s">
        <v>98</v>
      </c>
      <c r="C75" s="97">
        <f>VLOOKUP($B75,Descriptive!$B$3:$K$94,2,0)</f>
        <v>3.160000000000002</v>
      </c>
      <c r="D75" s="97">
        <f>VLOOKUP($B75,Descriptive!$B$3:$K$94,3,0)</f>
        <v>15.94</v>
      </c>
      <c r="E75" s="97">
        <f>VLOOKUP($B75,Descriptive!$B$3:$K$94,4,0)</f>
        <v>19.1</v>
      </c>
      <c r="F75" s="97">
        <f>VLOOKUP($B75,Descriptive!$B$3:$K$94,5,0)</f>
        <v>83.45549738219894</v>
      </c>
      <c r="G75" s="98">
        <f>VLOOKUP($B75,Descriptive!$B$3:$K$94,6,0)</f>
        <v>2004</v>
      </c>
      <c r="H75" s="64" t="str">
        <f>VLOOKUP(B75&amp;"_"&amp;"Public spending on education, total (% of GDP)",'Country Stats sectors'!$A$2:$P$1393,14,0)</f>
        <v>NA</v>
      </c>
      <c r="I75" s="64">
        <f>VLOOKUP(B75&amp;"_"&amp;"Health expenditure, public (% of GDP)",'Country Stats sectors'!$A$2:$P$1393,14,0)</f>
        <v>4.1605</v>
      </c>
      <c r="J75" s="66" t="str">
        <f t="shared" si="2"/>
        <v>NA</v>
      </c>
      <c r="K75" s="64" t="str">
        <f>VLOOKUP($B75&amp;"_"&amp;"General government final consumption expenditure (% of GDP)",'Country Stats Govt'!$A$2:$P$181,14,0)</f>
        <v>NA</v>
      </c>
      <c r="L75" s="65" t="str">
        <f>VLOOKUP($B75&amp;"_"&amp;"GDP per capita, PPP (current international $)",'Country Stats sectors'!$A$2:$P$1393,14,0)</f>
        <v>NA</v>
      </c>
      <c r="M75" s="65" t="str">
        <f>VLOOKUP($B75&amp;"_"&amp;"GINI index",'Country Stats sectors'!$A$2:$P$1393,14,0)</f>
        <v>NA</v>
      </c>
    </row>
    <row r="76" spans="1:13" ht="12.75">
      <c r="A76" t="s">
        <v>561</v>
      </c>
      <c r="B76" s="14" t="s">
        <v>199</v>
      </c>
      <c r="C76" s="97">
        <f>VLOOKUP($B76,Descriptive!$B$3:$K$94,2,0)</f>
        <v>4</v>
      </c>
      <c r="D76" s="97">
        <f>VLOOKUP($B76,Descriptive!$B$3:$K$94,3,0)</f>
        <v>1.31</v>
      </c>
      <c r="E76" s="97">
        <f>VLOOKUP($B76,Descriptive!$B$3:$K$94,4,0)</f>
        <v>5.3100000000000005</v>
      </c>
      <c r="F76" s="97">
        <f>VLOOKUP($B76,Descriptive!$B$3:$K$94,5,0)</f>
        <v>24.670433145009415</v>
      </c>
      <c r="G76" s="98">
        <f>VLOOKUP($B76,Descriptive!$B$3:$K$94,6,0)</f>
        <v>2002</v>
      </c>
      <c r="H76" s="64">
        <f>VLOOKUP(B76&amp;"_"&amp;"Public spending on education, total (% of GDP)",'Country Stats sectors'!$A$2:$P$1393,9,0)</f>
        <v>4.94416547862632</v>
      </c>
      <c r="I76" s="64">
        <f>VLOOKUP(B76&amp;"_"&amp;"Health expenditure, public (% of GDP)",'Country Stats sectors'!$A$2:$P$1393,12,0)</f>
        <v>4.6851</v>
      </c>
      <c r="J76" s="66">
        <f t="shared" si="2"/>
        <v>10.639326362975371</v>
      </c>
      <c r="K76" s="64">
        <f>VLOOKUP($B76&amp;"_"&amp;"General government final consumption expenditure (% of GDP)",'Country Stats Govt'!$A$2:$P$181,12,0)</f>
        <v>16.2938861846924</v>
      </c>
      <c r="L76" s="65">
        <f>VLOOKUP($B76&amp;"_"&amp;"GDP per capita, PPP (current international $)",'Country Stats sectors'!$A$2:$P$1393,12,0)</f>
        <v>4598.61315832126</v>
      </c>
      <c r="M76" s="65">
        <f>VLOOKUP($B76&amp;"_"&amp;"GINI index",'Country Stats sectors'!$A$2:$P$1393,13,0)</f>
        <v>38.838</v>
      </c>
    </row>
    <row r="77" spans="1:13" ht="12.75">
      <c r="A77" t="s">
        <v>561</v>
      </c>
      <c r="B77" s="14" t="s">
        <v>200</v>
      </c>
      <c r="C77" s="97">
        <f>VLOOKUP($B77,Descriptive!$B$3:$K$94,2,0)</f>
        <v>5.9</v>
      </c>
      <c r="D77" s="97" t="str">
        <f>VLOOKUP($B77,Descriptive!$B$3:$K$94,3,0)</f>
        <v>NA</v>
      </c>
      <c r="E77" s="97" t="str">
        <f>VLOOKUP($B77,Descriptive!$B$3:$K$94,4,0)</f>
        <v>NA</v>
      </c>
      <c r="F77" s="97" t="str">
        <f>VLOOKUP($B77,Descriptive!$B$3:$K$94,5,0)</f>
        <v>NA</v>
      </c>
      <c r="G77" s="98">
        <f>VLOOKUP($B77,Descriptive!$B$3:$K$94,6,0)</f>
        <v>1996</v>
      </c>
      <c r="H77" s="64">
        <f>VLOOKUP(B77&amp;"_"&amp;"Public spending on education, total (% of GDP)",'Country Stats sectors'!$A$2:$P$1393,11,0)</f>
        <v>6.58599834425305</v>
      </c>
      <c r="I77" s="64">
        <f>VLOOKUP(B77&amp;"_"&amp;"Health expenditure, public (% of GDP)",'Country Stats sectors'!$A$2:$P$1393,10,0)</f>
        <v>2.4242</v>
      </c>
      <c r="J77" s="66" t="str">
        <f t="shared" si="2"/>
        <v>NA</v>
      </c>
      <c r="K77" s="64">
        <f>VLOOKUP($B77&amp;"_"&amp;"General government final consumption expenditure (% of GDP)",'Country Stats Govt'!$A$2:$P$181,6,0)</f>
        <v>27.2660751342773</v>
      </c>
      <c r="L77" s="65">
        <f>VLOOKUP($B77&amp;"_"&amp;"GDP per capita, PPP (current international $)",'Country Stats sectors'!$A$2:$P$1393,6,0)</f>
        <v>19470.8382012693</v>
      </c>
      <c r="M77" s="65" t="str">
        <f>VLOOKUP($B77&amp;"_"&amp;"GINI index",'Country Stats sectors'!$A$2:$P$1393,6,0)</f>
        <v>NA</v>
      </c>
    </row>
    <row r="78" spans="1:13" ht="12.75">
      <c r="A78" t="s">
        <v>561</v>
      </c>
      <c r="B78" s="14" t="s">
        <v>105</v>
      </c>
      <c r="C78" s="97">
        <f>VLOOKUP($B78,Descriptive!$B$3:$K$94,2,0)</f>
        <v>2.5</v>
      </c>
      <c r="D78" s="97">
        <f>VLOOKUP($B78,Descriptive!$B$3:$K$94,3,0)</f>
        <v>0.4</v>
      </c>
      <c r="E78" s="97">
        <f>VLOOKUP($B78,Descriptive!$B$3:$K$94,4,0)</f>
        <v>2.9</v>
      </c>
      <c r="F78" s="97">
        <f>VLOOKUP($B78,Descriptive!$B$3:$K$94,5,0)</f>
        <v>13.793103448275861</v>
      </c>
      <c r="G78" s="98">
        <f>VLOOKUP($B78,Descriptive!$B$3:$K$94,6,0)</f>
        <v>2004</v>
      </c>
      <c r="H78" s="64">
        <f>VLOOKUP(B78&amp;"_"&amp;"Public spending on education, total (% of GDP)",'Country Stats sectors'!$A$2:$P$1393,14,0)</f>
        <v>2.55564172451054</v>
      </c>
      <c r="I78" s="64">
        <f>VLOOKUP(B78&amp;"_"&amp;"Health expenditure, public (% of GDP)",'Country Stats sectors'!$A$2:$P$1393,14,0)</f>
        <v>3.1784</v>
      </c>
      <c r="J78" s="66">
        <f t="shared" si="2"/>
        <v>8.22932636297537</v>
      </c>
      <c r="K78" s="64">
        <f>VLOOKUP($B78&amp;"_"&amp;"General government final consumption expenditure (% of GDP)",'Country Stats Govt'!$A$2:$P$181,14,0)</f>
        <v>15.2522478103638</v>
      </c>
      <c r="L78" s="65">
        <f>VLOOKUP($B78&amp;"_"&amp;"GDP per capita, PPP (current international $)",'Country Stats sectors'!$A$2:$P$1393,14,0)</f>
        <v>5387.96705344378</v>
      </c>
      <c r="M78" s="65" t="str">
        <f>VLOOKUP($B78&amp;"_"&amp;"GINI index",'Country Stats sectors'!$A$2:$P$1393,14,0)</f>
        <v>NA</v>
      </c>
    </row>
    <row r="79" spans="1:13" ht="12.75">
      <c r="A79" t="s">
        <v>561</v>
      </c>
      <c r="B79" s="14" t="s">
        <v>201</v>
      </c>
      <c r="C79" s="97">
        <f>VLOOKUP($B79,Descriptive!$B$3:$K$94,2,0)</f>
        <v>2.77</v>
      </c>
      <c r="D79" s="97">
        <f>VLOOKUP($B79,Descriptive!$B$3:$K$94,3,0)</f>
        <v>1.9</v>
      </c>
      <c r="E79" s="97">
        <f>VLOOKUP($B79,Descriptive!$B$3:$K$94,4,0)</f>
        <v>4.67</v>
      </c>
      <c r="F79" s="97">
        <f>VLOOKUP($B79,Descriptive!$B$3:$K$94,5,0)</f>
        <v>40.685224839400426</v>
      </c>
      <c r="G79" s="99">
        <v>1998</v>
      </c>
      <c r="H79" s="64">
        <f>VLOOKUP(B79&amp;"_"&amp;"Public spending on education, total (% of GDP)",'Country Stats sectors'!$A$2:$P$1393,9,0)</f>
        <v>6.07098437074363</v>
      </c>
      <c r="I79" s="64">
        <f>VLOOKUP(B79&amp;"_"&amp;"Health expenditure, public (% of GDP)",'Country Stats sectors'!$A$2:$P$1393,10,0)</f>
        <v>1.4976</v>
      </c>
      <c r="J79" s="66">
        <f t="shared" si="2"/>
        <v>9.99932636297537</v>
      </c>
      <c r="K79" s="64">
        <f>VLOOKUP($B79&amp;"_"&amp;"General government final consumption expenditure (% of GDP)",'Country Stats Govt'!$A$2:$P$181,8,0)</f>
        <v>18.0232696533203</v>
      </c>
      <c r="L79" s="65">
        <f>VLOOKUP($B79&amp;"_"&amp;"GDP per capita, PPP (current international $)",'Country Stats sectors'!$A$2:$P$1393,8,0)</f>
        <v>3477.48275782948</v>
      </c>
      <c r="M79" s="65">
        <f>VLOOKUP($B79&amp;"_"&amp;"GINI index",'Country Stats sectors'!$A$2:$P$1393,9,0)</f>
        <v>39.5</v>
      </c>
    </row>
    <row r="80" spans="1:13" ht="12.75">
      <c r="A80" t="s">
        <v>561</v>
      </c>
      <c r="B80" s="14" t="s">
        <v>585</v>
      </c>
      <c r="C80" s="97">
        <f>VLOOKUP($B80,Descriptive!$B$3:$K$94,2,0)</f>
        <v>0.6</v>
      </c>
      <c r="D80" s="97" t="str">
        <f>VLOOKUP($B80,Descriptive!$B$3:$K$94,3,0)</f>
        <v>NA</v>
      </c>
      <c r="E80" s="97" t="str">
        <f>VLOOKUP($B80,Descriptive!$B$3:$K$94,4,0)</f>
        <v>NA</v>
      </c>
      <c r="F80" s="97" t="str">
        <f>VLOOKUP($B80,Descriptive!$B$3:$K$94,5,0)</f>
        <v>NA</v>
      </c>
      <c r="G80" s="98">
        <f>VLOOKUP($B80,Descriptive!$B$3:$K$94,6,0)</f>
        <v>1999</v>
      </c>
      <c r="H80" s="64" t="e">
        <f>VLOOKUP(B80&amp;"_"&amp;"Public spending on education, total (% of GDP)",'Country Stats sectors'!$A$2:$P$1393,9,0)</f>
        <v>#N/A</v>
      </c>
      <c r="I80" s="64" t="e">
        <f>VLOOKUP(B80&amp;"_"&amp;"Health expenditure, public (% of GDP)",'Country Stats sectors'!$A$2:$P$1393,10,0)</f>
        <v>#N/A</v>
      </c>
      <c r="J80" s="66" t="str">
        <f t="shared" si="2"/>
        <v>NA</v>
      </c>
      <c r="K80" s="64" t="e">
        <f>VLOOKUP($B80&amp;"_"&amp;"General government final consumption expenditure (% of GDP)",'Country Stats Govt'!$A$2:$P$181,9,0)</f>
        <v>#N/A</v>
      </c>
      <c r="L80" s="65" t="e">
        <f>VLOOKUP($B80&amp;"_"&amp;"GDP per capita, PPP (current international $)",'Country Stats sectors'!$A$2:$P$1393,9,0)</f>
        <v>#N/A</v>
      </c>
      <c r="M80" s="65" t="e">
        <f>VLOOKUP($B80&amp;"_"&amp;"GINI index",'Country Stats sectors'!$A$2:$P$1393,9,0)</f>
        <v>#N/A</v>
      </c>
    </row>
    <row r="81" spans="1:13" ht="12.75">
      <c r="A81" t="s">
        <v>561</v>
      </c>
      <c r="B81" s="14" t="s">
        <v>202</v>
      </c>
      <c r="C81" s="97">
        <f>VLOOKUP($B81,Descriptive!$B$3:$K$94,2,0)</f>
        <v>4.2</v>
      </c>
      <c r="D81" s="97">
        <f>VLOOKUP($B81,Descriptive!$B$3:$K$94,3,0)</f>
        <v>2.32</v>
      </c>
      <c r="E81" s="97">
        <f>VLOOKUP($B81,Descriptive!$B$3:$K$94,4,0)</f>
        <v>6.52</v>
      </c>
      <c r="F81" s="97">
        <f>VLOOKUP($B81,Descriptive!$B$3:$K$94,5,0)</f>
        <v>35.58282208588957</v>
      </c>
      <c r="G81" s="99">
        <v>2000</v>
      </c>
      <c r="H81" s="64">
        <f>VLOOKUP(B81&amp;"_"&amp;"Public spending on education, total (% of GDP)",'Country Stats sectors'!$A$2:$P$1393,10,0)</f>
        <v>6.84064990707549</v>
      </c>
      <c r="I81" s="64">
        <f>VLOOKUP(B81&amp;"_"&amp;"Health expenditure, public (% of GDP)",'Country Stats sectors'!$A$2:$P$1393,10,0)</f>
        <v>2.856</v>
      </c>
      <c r="J81" s="66">
        <f t="shared" si="2"/>
        <v>11.84932636297537</v>
      </c>
      <c r="K81" s="64">
        <f>VLOOKUP($B81&amp;"_"&amp;"General government final consumption expenditure (% of GDP)",'Country Stats Govt'!$A$2:$P$181,10,0)</f>
        <v>15.5593242645264</v>
      </c>
      <c r="L81" s="65">
        <f>VLOOKUP($B81&amp;"_"&amp;"GDP per capita, PPP (current international $)",'Country Stats sectors'!$A$2:$P$1393,10,0)</f>
        <v>6279.06168425871</v>
      </c>
      <c r="M81" s="65">
        <f>VLOOKUP($B81&amp;"_"&amp;"GINI index",'Country Stats sectors'!$A$2:$P$1393,10,0)</f>
        <v>39.8</v>
      </c>
    </row>
    <row r="82" spans="1:13" ht="12.75">
      <c r="A82" t="s">
        <v>561</v>
      </c>
      <c r="B82" s="14" t="s">
        <v>195</v>
      </c>
      <c r="C82" s="97" t="str">
        <f>VLOOKUP($B82,Descriptive!$B$3:$K$94,2,0)</f>
        <v>NA</v>
      </c>
      <c r="D82" s="97" t="str">
        <f>VLOOKUP($B82,Descriptive!$B$3:$K$94,3,0)</f>
        <v>NA</v>
      </c>
      <c r="E82" s="97">
        <f>VLOOKUP($B82,Descriptive!$B$3:$K$94,4,0)</f>
        <v>5.7</v>
      </c>
      <c r="F82" s="97" t="str">
        <f>VLOOKUP($B82,Descriptive!$B$3:$K$94,5,0)</f>
        <v>NA</v>
      </c>
      <c r="G82" s="99">
        <v>2001</v>
      </c>
      <c r="H82" s="64" t="str">
        <f>VLOOKUP(B82&amp;"_"&amp;"Public spending on education, total (% of GDP)",'Country Stats sectors'!$A$2:$P$1393,12,0)</f>
        <v>NA</v>
      </c>
      <c r="I82" s="64" t="str">
        <f>VLOOKUP(B82&amp;"_"&amp;"Health expenditure, public (% of GDP)",'Country Stats sectors'!$A$2:$P$1393,12,0)</f>
        <v>NA</v>
      </c>
      <c r="J82" s="66" t="str">
        <f t="shared" si="2"/>
        <v>NA</v>
      </c>
      <c r="K82" s="64">
        <f>VLOOKUP($B82&amp;"_"&amp;"General government final consumption expenditure (% of GDP)",'Country Stats Govt'!$A$2:$P$181,12,0)</f>
        <v>30.5365123748779</v>
      </c>
      <c r="L82" s="65" t="str">
        <f>VLOOKUP($B82&amp;"_"&amp;"GDP per capita, PPP (current international $)",'Country Stats sectors'!$A$2:$P$1393,12,0)</f>
        <v>NA</v>
      </c>
      <c r="M82" s="65" t="str">
        <f>VLOOKUP($B82&amp;"_"&amp;"GINI index",'Country Stats sectors'!$A$2:$P$1393,12,0)</f>
        <v>NA</v>
      </c>
    </row>
    <row r="83" spans="1:13" ht="12.75">
      <c r="A83" t="s">
        <v>561</v>
      </c>
      <c r="B83" s="14" t="s">
        <v>584</v>
      </c>
      <c r="C83" s="97">
        <f>VLOOKUP($B83,Descriptive!$B$3:$K$94,2,0)</f>
        <v>0.9</v>
      </c>
      <c r="D83" s="97">
        <f>VLOOKUP($B83,Descriptive!$B$3:$K$94,3,0)</f>
        <v>1</v>
      </c>
      <c r="E83" s="97">
        <f>VLOOKUP($B83,Descriptive!$B$3:$K$94,4,0)</f>
        <v>1.9</v>
      </c>
      <c r="F83" s="97">
        <f>VLOOKUP($B83,Descriptive!$B$3:$K$94,5,0)</f>
        <v>52.63157894736842</v>
      </c>
      <c r="G83" s="98">
        <f>VLOOKUP($B83,Descriptive!$B$3:$K$94,6,0)</f>
        <v>1999</v>
      </c>
      <c r="H83" s="64" t="e">
        <f>VLOOKUP(B83&amp;"_"&amp;"Public spending on education, total (% of GDP)",'Country Stats sectors'!$A$2:$P$1393,10,0)</f>
        <v>#N/A</v>
      </c>
      <c r="I83" s="64" t="e">
        <f>VLOOKUP(B83&amp;"_"&amp;"Health expenditure, public (% of GDP)",'Country Stats sectors'!$A$2:$P$1393,10,0)</f>
        <v>#N/A</v>
      </c>
      <c r="J83" s="66" t="str">
        <f t="shared" si="2"/>
        <v>NA</v>
      </c>
      <c r="K83" s="64" t="e">
        <f>VLOOKUP($B83&amp;"_"&amp;"General government final consumption expenditure (% of GDP)",'Country Stats Govt'!$A$2:$P$181,9,0)</f>
        <v>#N/A</v>
      </c>
      <c r="L83" s="65" t="e">
        <f>VLOOKUP($B83&amp;"_"&amp;"GDP per capita, PPP (current international $)",'Country Stats sectors'!$A$2:$P$1393,9,0)</f>
        <v>#N/A</v>
      </c>
      <c r="M83" s="65" t="e">
        <f>VLOOKUP($B83&amp;"_"&amp;"GINI index",'Country Stats sectors'!$A$2:$P$1393,8,0)</f>
        <v>#N/A</v>
      </c>
    </row>
    <row r="84" spans="1:13" ht="12.75">
      <c r="A84" s="37" t="s">
        <v>559</v>
      </c>
      <c r="B84" s="14" t="s">
        <v>234</v>
      </c>
      <c r="C84" s="97">
        <f>VLOOKUP($B84,Descriptive!$B$3:$K$94,2,0)</f>
        <v>1.3</v>
      </c>
      <c r="D84" s="97">
        <f>VLOOKUP($B84,Descriptive!$B$3:$K$94,3,0)</f>
        <v>0.7</v>
      </c>
      <c r="E84" s="97">
        <f>VLOOKUP($B84,Descriptive!$B$3:$K$94,4,0)</f>
        <v>2</v>
      </c>
      <c r="F84" s="97">
        <f>VLOOKUP($B84,Descriptive!$B$3:$K$94,5,0)</f>
        <v>35</v>
      </c>
      <c r="G84" s="98">
        <f>VLOOKUP($B84,Descriptive!$B$3:$K$94,6,0)</f>
        <v>2004</v>
      </c>
      <c r="H84" s="64">
        <f>VLOOKUP(B84&amp;"_"&amp;"Public spending on education, total (% of GDP)",'Country Stats sectors'!$A$2:$P$1393,14,0)</f>
        <v>2.2482858695</v>
      </c>
      <c r="I84" s="64">
        <f>VLOOKUP(B84&amp;"_"&amp;"Health expenditure, public (% of GDP)",'Country Stats sectors'!$A$2:$P$1393,14,0)</f>
        <v>0.8711</v>
      </c>
      <c r="J84" s="66">
        <f t="shared" si="2"/>
        <v>7.329326362975371</v>
      </c>
      <c r="K84" s="64">
        <f>VLOOKUP($B84&amp;"_"&amp;"General government final consumption expenditure (% of GDP)",'Country Stats Govt'!$A$2:$P$181,14,0)</f>
        <v>5.52798414230347</v>
      </c>
      <c r="L84" s="65">
        <f>VLOOKUP($B84&amp;"_"&amp;"GDP per capita, PPP (current international $)",'Country Stats sectors'!$A$2:$P$1393,14,0)</f>
        <v>1917.28034863584</v>
      </c>
      <c r="M84" s="65">
        <f>VLOOKUP($B84&amp;"_"&amp;"GINI index",'Country Stats sectors'!$A$2:$P$1393,10,0)</f>
        <v>33.4</v>
      </c>
    </row>
    <row r="85" spans="1:13" ht="12.75">
      <c r="A85" s="37" t="s">
        <v>559</v>
      </c>
      <c r="B85" s="14" t="s">
        <v>109</v>
      </c>
      <c r="C85" s="97">
        <f>VLOOKUP($B85,Descriptive!$B$3:$K$94,2,0)</f>
        <v>2.1</v>
      </c>
      <c r="D85" s="97">
        <f>VLOOKUP($B85,Descriptive!$B$3:$K$94,3,0)</f>
        <v>2.1999999999999997</v>
      </c>
      <c r="E85" s="97">
        <f>VLOOKUP($B85,Descriptive!$B$3:$K$94,4,0)</f>
        <v>4.3</v>
      </c>
      <c r="F85" s="97">
        <f>VLOOKUP($B85,Descriptive!$B$3:$K$94,5,0)</f>
        <v>51.16279069767441</v>
      </c>
      <c r="G85" s="98">
        <f>VLOOKUP($B85,Descriptive!$B$3:$K$94,6,0)</f>
        <v>2004</v>
      </c>
      <c r="H85" s="64">
        <f>VLOOKUP(B85&amp;"_"&amp;"Public spending on education, total (% of GDP)",'Country Stats sectors'!$A$2:$P$1393,14,0)</f>
        <v>3.7604976657442</v>
      </c>
      <c r="I85" s="64">
        <f>VLOOKUP(B85&amp;"_"&amp;"Health expenditure, public (% of GDP)",'Country Stats sectors'!$A$2:$P$1393,14,0)</f>
        <v>0.865</v>
      </c>
      <c r="J85" s="66">
        <f t="shared" si="2"/>
        <v>9.62932636297537</v>
      </c>
      <c r="K85" s="64">
        <f>VLOOKUP($B85&amp;"_"&amp;"General government final consumption expenditure (% of GDP)",'Country Stats Govt'!$A$2:$P$181,14,0)</f>
        <v>10.9557485580444</v>
      </c>
      <c r="L85" s="65">
        <f>VLOOKUP($B85&amp;"_"&amp;"GDP per capita, PPP (current international $)",'Country Stats sectors'!$A$2:$P$1393,14,0)</f>
        <v>3110.37730393536</v>
      </c>
      <c r="M85" s="65">
        <f>VLOOKUP($B85&amp;"_"&amp;"GINI index",'Country Stats sectors'!$A$2:$P$1393,14,0)</f>
        <v>36.8</v>
      </c>
    </row>
    <row r="86" spans="1:13" ht="12.75">
      <c r="A86" s="37" t="s">
        <v>559</v>
      </c>
      <c r="B86" s="14" t="s">
        <v>87</v>
      </c>
      <c r="C86" s="97">
        <f>VLOOKUP($B86,Descriptive!$B$3:$K$94,2,0)</f>
        <v>0.2</v>
      </c>
      <c r="D86" s="97">
        <f>VLOOKUP($B86,Descriptive!$B$3:$K$94,3,0)</f>
        <v>0.2</v>
      </c>
      <c r="E86" s="97">
        <f>VLOOKUP($B86,Descriptive!$B$3:$K$94,4,0)</f>
        <v>0.4</v>
      </c>
      <c r="F86" s="97">
        <f>VLOOKUP($B86,Descriptive!$B$3:$K$94,5,0)</f>
        <v>50</v>
      </c>
      <c r="G86" s="98">
        <f>VLOOKUP($B86,Descriptive!$B$3:$K$94,6,0)</f>
        <v>2004</v>
      </c>
      <c r="H86" s="64">
        <f>VLOOKUP(B86&amp;"_"&amp;"Public spending on education, total (% of GDP)",'Country Stats sectors'!$A$2:$P$1393,14,0)</f>
        <v>7.15215277385229</v>
      </c>
      <c r="I86" s="64">
        <f>VLOOKUP(B86&amp;"_"&amp;"Health expenditure, public (% of GDP)",'Country Stats sectors'!$A$2:$P$1393,14,0)</f>
        <v>6.2678</v>
      </c>
      <c r="J86" s="66">
        <f t="shared" si="2"/>
        <v>5.729326362975369</v>
      </c>
      <c r="K86" s="64">
        <f>VLOOKUP($B86&amp;"_"&amp;"General government final consumption expenditure (% of GDP)",'Country Stats Govt'!$A$2:$P$181,14,0)</f>
        <v>24.2013549804688</v>
      </c>
      <c r="L86" s="65" t="str">
        <f>VLOOKUP($B86&amp;"_"&amp;"GDP per capita, PPP (current international $)",'Country Stats sectors'!$A$2:$P$1393,14,0)</f>
        <v>NA</v>
      </c>
      <c r="M86" s="65" t="str">
        <f>VLOOKUP($B86&amp;"_"&amp;"GINI index",'Country Stats sectors'!$A$2:$P$1393,14,0)</f>
        <v>NA</v>
      </c>
    </row>
    <row r="87" spans="1:13" ht="12.75">
      <c r="A87" s="37" t="s">
        <v>559</v>
      </c>
      <c r="B87" s="14" t="s">
        <v>235</v>
      </c>
      <c r="C87" s="97">
        <f>VLOOKUP($B87,Descriptive!$B$3:$K$94,2,0)</f>
        <v>1.4</v>
      </c>
      <c r="D87" s="97">
        <f>VLOOKUP($B87,Descriptive!$B$3:$K$94,3,0)</f>
        <v>0.4</v>
      </c>
      <c r="E87" s="97">
        <f>VLOOKUP($B87,Descriptive!$B$3:$K$94,4,0)</f>
        <v>1.7999999999999998</v>
      </c>
      <c r="F87" s="97">
        <f>VLOOKUP($B87,Descriptive!$B$3:$K$94,5,0)</f>
        <v>22.222222222222225</v>
      </c>
      <c r="G87" s="99">
        <v>2004</v>
      </c>
      <c r="H87" s="64">
        <f>VLOOKUP(B87&amp;"_"&amp;"Public spending on education, total (% of GDP)",'Country Stats sectors'!$A$2:$P$1393,14,0)</f>
        <v>1.96974738091724</v>
      </c>
      <c r="I87" s="64">
        <f>VLOOKUP(B87&amp;"_"&amp;"Health expenditure, public (% of GDP)",'Country Stats sectors'!$A$2:$P$1393,14,0)</f>
        <v>0.4312</v>
      </c>
      <c r="J87" s="66">
        <f t="shared" si="2"/>
        <v>7.12932636297537</v>
      </c>
      <c r="K87" s="64">
        <f>VLOOKUP($B87&amp;"_"&amp;"General government final consumption expenditure (% of GDP)",'Country Stats Govt'!$A$2:$P$181,14,0)</f>
        <v>8.19883728027344</v>
      </c>
      <c r="L87" s="65">
        <f>VLOOKUP($B87&amp;"_"&amp;"GDP per capita, PPP (current international $)",'Country Stats sectors'!$A$2:$P$1393,14,0)</f>
        <v>2208.55340066085</v>
      </c>
      <c r="M87" s="65">
        <f>VLOOKUP($B87&amp;"_"&amp;"GINI index",'Country Stats sectors'!$A$2:$P$1393,12,0)</f>
        <v>30.5647</v>
      </c>
    </row>
    <row r="88" spans="1:13" ht="12.75">
      <c r="A88" s="37" t="s">
        <v>559</v>
      </c>
      <c r="B88" s="14" t="s">
        <v>236</v>
      </c>
      <c r="C88" s="97">
        <f>VLOOKUP($B88,Descriptive!$B$3:$K$94,2,0)</f>
        <v>2</v>
      </c>
      <c r="D88" s="97">
        <f>VLOOKUP($B88,Descriptive!$B$3:$K$94,3,0)</f>
        <v>1</v>
      </c>
      <c r="E88" s="97">
        <f>VLOOKUP($B88,Descriptive!$B$3:$K$94,4,0)</f>
        <v>3</v>
      </c>
      <c r="F88" s="97">
        <f>VLOOKUP($B88,Descriptive!$B$3:$K$94,5,0)</f>
        <v>33.33333333333333</v>
      </c>
      <c r="G88" s="98">
        <f>VLOOKUP($B88,Descriptive!$B$3:$K$94,6,0)</f>
        <v>2004</v>
      </c>
      <c r="H88" s="64" t="str">
        <f>VLOOKUP(B88&amp;"_"&amp;"Public spending on education, total (% of GDP)",'Country Stats sectors'!$A$2:$P$1393,14,0)</f>
        <v>NA</v>
      </c>
      <c r="I88" s="64">
        <f>VLOOKUP(B88&amp;"_"&amp;"Health expenditure, public (% of GDP)",'Country Stats sectors'!$A$2:$P$1393,14,0)</f>
        <v>1.9608</v>
      </c>
      <c r="J88" s="66" t="str">
        <f t="shared" si="2"/>
        <v>NA</v>
      </c>
      <c r="K88" s="64">
        <f>VLOOKUP($B88&amp;"_"&amp;"General government final consumption expenditure (% of GDP)",'Country Stats Govt'!$A$2:$P$181,14,0)</f>
        <v>8.11662769317627</v>
      </c>
      <c r="L88" s="65">
        <f>VLOOKUP($B88&amp;"_"&amp;"GDP per capita, PPP (current international $)",'Country Stats sectors'!$A$2:$P$1393,14,0)</f>
        <v>4276.43326515057</v>
      </c>
      <c r="M88" s="65">
        <f>VLOOKUP($B88&amp;"_"&amp;"GINI index",'Country Stats sectors'!$A$2:$P$1393,12,0)</f>
        <v>40.17</v>
      </c>
    </row>
  </sheetData>
  <sheetProtection/>
  <autoFilter ref="A1:M88"/>
  <printOptions/>
  <pageMargins left="0.787401575" right="0.787401575" top="0.75" bottom="0.75" header="0.5" footer="0.5"/>
  <pageSetup horizontalDpi="600" verticalDpi="600" orientation="landscape" scale="67" r:id="rId3"/>
  <headerFooter alignWithMargins="0">
    <oddHeader>&amp;L&amp;D&amp;RDRAFT - NOT FOR QUOTATION</oddHeader>
    <oddFooter>&amp;CPlease provide comments and revised or additional data and reports to Christine Weigand (cweigand@worldbank.org). Thank you.</oddFooter>
  </headerFooter>
  <legacyDrawing r:id="rId2"/>
</worksheet>
</file>

<file path=xl/worksheets/sheet5.xml><?xml version="1.0" encoding="utf-8"?>
<worksheet xmlns="http://schemas.openxmlformats.org/spreadsheetml/2006/main" xmlns:r="http://schemas.openxmlformats.org/officeDocument/2006/relationships">
  <dimension ref="A1:P181"/>
  <sheetViews>
    <sheetView zoomScalePageLayoutView="0" workbookViewId="0" topLeftCell="B1">
      <selection activeCell="E2" sqref="E2"/>
    </sheetView>
  </sheetViews>
  <sheetFormatPr defaultColWidth="8.8515625" defaultRowHeight="12.75"/>
  <sheetData>
    <row r="1" spans="1:16" ht="12.75">
      <c r="A1" t="s">
        <v>539</v>
      </c>
      <c r="B1" t="s">
        <v>403</v>
      </c>
      <c r="C1" t="s">
        <v>404</v>
      </c>
      <c r="D1" t="s">
        <v>405</v>
      </c>
      <c r="E1" t="s">
        <v>406</v>
      </c>
      <c r="F1">
        <v>1996</v>
      </c>
      <c r="G1">
        <v>1997</v>
      </c>
      <c r="H1">
        <v>1998</v>
      </c>
      <c r="I1">
        <v>1999</v>
      </c>
      <c r="J1">
        <v>2000</v>
      </c>
      <c r="K1">
        <v>2001</v>
      </c>
      <c r="L1">
        <v>2002</v>
      </c>
      <c r="M1">
        <v>2003</v>
      </c>
      <c r="N1">
        <v>2004</v>
      </c>
      <c r="O1">
        <v>2005</v>
      </c>
      <c r="P1">
        <v>2006</v>
      </c>
    </row>
    <row r="2" spans="1:16" ht="12.75">
      <c r="A2" s="62" t="str">
        <f aca="true" t="shared" si="0" ref="A2:A65">C2&amp;"_"&amp;E2</f>
        <v>Afghanistan_General government final consumption expenditure (% of GDP)</v>
      </c>
      <c r="B2" t="s">
        <v>407</v>
      </c>
      <c r="C2" t="s">
        <v>233</v>
      </c>
      <c r="D2" t="s">
        <v>540</v>
      </c>
      <c r="E2" t="s">
        <v>541</v>
      </c>
      <c r="F2" t="s">
        <v>193</v>
      </c>
      <c r="G2" t="s">
        <v>193</v>
      </c>
      <c r="H2" t="s">
        <v>193</v>
      </c>
      <c r="I2" t="s">
        <v>193</v>
      </c>
      <c r="J2" t="s">
        <v>193</v>
      </c>
      <c r="K2" t="s">
        <v>193</v>
      </c>
      <c r="L2">
        <v>7.7654185295105</v>
      </c>
      <c r="M2">
        <v>9.37327861785889</v>
      </c>
      <c r="N2">
        <v>9.13871192932129</v>
      </c>
      <c r="O2">
        <v>8.62401485443115</v>
      </c>
      <c r="P2" t="s">
        <v>193</v>
      </c>
    </row>
    <row r="3" spans="1:16" ht="12.75">
      <c r="A3" s="62" t="str">
        <f t="shared" si="0"/>
        <v>Afghanistan_Expense (% of GDP)</v>
      </c>
      <c r="B3" t="s">
        <v>407</v>
      </c>
      <c r="C3" t="s">
        <v>233</v>
      </c>
      <c r="D3" t="s">
        <v>542</v>
      </c>
      <c r="E3" t="s">
        <v>543</v>
      </c>
      <c r="F3" t="s">
        <v>193</v>
      </c>
      <c r="G3" t="s">
        <v>193</v>
      </c>
      <c r="H3" t="s">
        <v>193</v>
      </c>
      <c r="I3" t="s">
        <v>193</v>
      </c>
      <c r="J3" t="s">
        <v>193</v>
      </c>
      <c r="K3" t="s">
        <v>193</v>
      </c>
      <c r="L3" t="s">
        <v>193</v>
      </c>
      <c r="M3">
        <v>10.8246808645038</v>
      </c>
      <c r="N3">
        <v>14.0283655316817</v>
      </c>
      <c r="O3">
        <v>11.9442181729046</v>
      </c>
      <c r="P3" t="s">
        <v>193</v>
      </c>
    </row>
    <row r="4" spans="1:16" ht="12.75">
      <c r="A4" s="62" t="str">
        <f t="shared" si="0"/>
        <v>Albania_General government final consumption expenditure (% of GDP)</v>
      </c>
      <c r="B4" t="s">
        <v>440</v>
      </c>
      <c r="C4" t="s">
        <v>203</v>
      </c>
      <c r="D4" t="s">
        <v>540</v>
      </c>
      <c r="E4" t="s">
        <v>541</v>
      </c>
      <c r="F4">
        <v>9.69861316680908</v>
      </c>
      <c r="G4">
        <v>10.8230962753296</v>
      </c>
      <c r="H4">
        <v>9.75490283966064</v>
      </c>
      <c r="I4">
        <v>9.21438503265381</v>
      </c>
      <c r="J4">
        <v>8.85654163360596</v>
      </c>
      <c r="K4">
        <v>9.55461502075195</v>
      </c>
      <c r="L4">
        <v>10.1911582946777</v>
      </c>
      <c r="M4">
        <v>10.07896900177</v>
      </c>
      <c r="N4">
        <v>9.52186584472656</v>
      </c>
      <c r="O4">
        <v>9.34315967559814</v>
      </c>
      <c r="P4">
        <v>8.8821849822998</v>
      </c>
    </row>
    <row r="5" spans="1:16" ht="12.75">
      <c r="A5" s="62" t="str">
        <f t="shared" si="0"/>
        <v>Albania_Expense (% of GDP)</v>
      </c>
      <c r="B5" t="s">
        <v>440</v>
      </c>
      <c r="C5" t="s">
        <v>203</v>
      </c>
      <c r="D5" t="s">
        <v>542</v>
      </c>
      <c r="E5" t="s">
        <v>543</v>
      </c>
      <c r="F5">
        <v>22.3822778162197</v>
      </c>
      <c r="G5">
        <v>26.3083085701516</v>
      </c>
      <c r="H5">
        <v>28.0318396721294</v>
      </c>
      <c r="I5" t="s">
        <v>193</v>
      </c>
      <c r="J5" t="s">
        <v>193</v>
      </c>
      <c r="K5" t="s">
        <v>193</v>
      </c>
      <c r="L5">
        <v>24.2664896676957</v>
      </c>
      <c r="M5">
        <v>22.7359575476007</v>
      </c>
      <c r="N5">
        <v>21.9396255492242</v>
      </c>
      <c r="O5" t="s">
        <v>193</v>
      </c>
      <c r="P5" t="s">
        <v>193</v>
      </c>
    </row>
    <row r="6" spans="1:16" ht="12.75">
      <c r="A6" s="62" t="str">
        <f t="shared" si="0"/>
        <v>Algeria_General government final consumption expenditure (% of GDP)</v>
      </c>
      <c r="B6" t="s">
        <v>441</v>
      </c>
      <c r="C6" t="s">
        <v>196</v>
      </c>
      <c r="D6" t="s">
        <v>540</v>
      </c>
      <c r="E6" t="s">
        <v>541</v>
      </c>
      <c r="F6">
        <v>15.7743186950684</v>
      </c>
      <c r="G6">
        <v>16.5383777618408</v>
      </c>
      <c r="H6">
        <v>17.7919101715088</v>
      </c>
      <c r="I6">
        <v>16.7871036529541</v>
      </c>
      <c r="J6">
        <v>13.5831212997437</v>
      </c>
      <c r="K6">
        <v>14.659218788147</v>
      </c>
      <c r="L6">
        <v>15.4066123962402</v>
      </c>
      <c r="M6">
        <v>14.7692947387695</v>
      </c>
      <c r="N6">
        <v>13.8247346878052</v>
      </c>
      <c r="O6">
        <v>12.20090675354</v>
      </c>
      <c r="P6" t="s">
        <v>193</v>
      </c>
    </row>
    <row r="7" spans="1:16" ht="12.75">
      <c r="A7" s="62" t="str">
        <f t="shared" si="0"/>
        <v>Algeria_Expense (% of GDP)</v>
      </c>
      <c r="B7" t="s">
        <v>441</v>
      </c>
      <c r="C7" t="s">
        <v>196</v>
      </c>
      <c r="D7" t="s">
        <v>542</v>
      </c>
      <c r="E7" t="s">
        <v>543</v>
      </c>
      <c r="F7">
        <v>22.3733851516061</v>
      </c>
      <c r="G7">
        <v>23.7952313170586</v>
      </c>
      <c r="H7">
        <v>23.4536292543199</v>
      </c>
      <c r="I7">
        <v>23.9236298029545</v>
      </c>
      <c r="J7">
        <v>20.7637446226453</v>
      </c>
      <c r="K7">
        <v>22.6162459276317</v>
      </c>
      <c r="L7">
        <v>24.1463221628745</v>
      </c>
      <c r="M7" t="s">
        <v>193</v>
      </c>
      <c r="N7" t="s">
        <v>193</v>
      </c>
      <c r="O7" t="s">
        <v>193</v>
      </c>
      <c r="P7" t="s">
        <v>193</v>
      </c>
    </row>
    <row r="8" spans="1:16" ht="12.75">
      <c r="A8" s="62" t="str">
        <f t="shared" si="0"/>
        <v>Argentina_General government final consumption expenditure (% of GDP)</v>
      </c>
      <c r="B8" t="s">
        <v>442</v>
      </c>
      <c r="C8" t="s">
        <v>237</v>
      </c>
      <c r="D8" t="s">
        <v>540</v>
      </c>
      <c r="E8" t="s">
        <v>541</v>
      </c>
      <c r="F8">
        <v>12.5016775131226</v>
      </c>
      <c r="G8">
        <v>12.0620193481445</v>
      </c>
      <c r="H8">
        <v>12.4947700500488</v>
      </c>
      <c r="I8">
        <v>13.7232103347778</v>
      </c>
      <c r="J8">
        <v>13.7841911315918</v>
      </c>
      <c r="K8">
        <v>14.1562757492065</v>
      </c>
      <c r="L8">
        <v>12.2352418899536</v>
      </c>
      <c r="M8">
        <v>11.4380617141724</v>
      </c>
      <c r="N8">
        <v>11.1306295394897</v>
      </c>
      <c r="O8">
        <v>11.8842363357544</v>
      </c>
      <c r="P8">
        <v>8.29678630828857</v>
      </c>
    </row>
    <row r="9" spans="1:16" ht="12.75">
      <c r="A9" s="62" t="str">
        <f t="shared" si="0"/>
        <v>Argentina_Expense (% of GDP)</v>
      </c>
      <c r="B9" t="s">
        <v>442</v>
      </c>
      <c r="C9" t="s">
        <v>237</v>
      </c>
      <c r="D9" t="s">
        <v>542</v>
      </c>
      <c r="E9" t="s">
        <v>543</v>
      </c>
      <c r="F9" t="s">
        <v>193</v>
      </c>
      <c r="G9" t="s">
        <v>193</v>
      </c>
      <c r="H9" t="s">
        <v>193</v>
      </c>
      <c r="I9" t="s">
        <v>193</v>
      </c>
      <c r="J9" t="s">
        <v>193</v>
      </c>
      <c r="K9" t="s">
        <v>193</v>
      </c>
      <c r="L9">
        <v>19.6771615068803</v>
      </c>
      <c r="M9">
        <v>19.837310828679</v>
      </c>
      <c r="N9">
        <v>18.2890430602235</v>
      </c>
      <c r="O9" t="s">
        <v>193</v>
      </c>
      <c r="P9" t="s">
        <v>193</v>
      </c>
    </row>
    <row r="10" spans="1:16" ht="12.75">
      <c r="A10" s="62" t="str">
        <f t="shared" si="0"/>
        <v>Armenia_General government final consumption expenditure (% of GDP)</v>
      </c>
      <c r="B10" t="s">
        <v>443</v>
      </c>
      <c r="C10" t="s">
        <v>204</v>
      </c>
      <c r="D10" t="s">
        <v>540</v>
      </c>
      <c r="E10" t="s">
        <v>541</v>
      </c>
      <c r="F10">
        <v>11.2316980361938</v>
      </c>
      <c r="G10">
        <v>11.2167196273804</v>
      </c>
      <c r="H10">
        <v>11.0520887374878</v>
      </c>
      <c r="I10">
        <v>11.9086284637451</v>
      </c>
      <c r="J10">
        <v>11.8090152740479</v>
      </c>
      <c r="K10">
        <v>11.2859020233154</v>
      </c>
      <c r="L10">
        <v>9.98704051971436</v>
      </c>
      <c r="M10">
        <v>10.2072477340698</v>
      </c>
      <c r="N10">
        <v>10.1729640960693</v>
      </c>
      <c r="O10">
        <v>10.6433019638062</v>
      </c>
      <c r="P10">
        <v>11.3812694549561</v>
      </c>
    </row>
    <row r="11" spans="1:16" ht="12.75">
      <c r="A11" s="62" t="str">
        <f t="shared" si="0"/>
        <v>Armenia_Expense (% of GDP)</v>
      </c>
      <c r="B11" t="s">
        <v>443</v>
      </c>
      <c r="C11" t="s">
        <v>204</v>
      </c>
      <c r="D11" t="s">
        <v>542</v>
      </c>
      <c r="E11" t="s">
        <v>543</v>
      </c>
      <c r="F11" t="s">
        <v>193</v>
      </c>
      <c r="G11" t="s">
        <v>193</v>
      </c>
      <c r="H11" t="s">
        <v>193</v>
      </c>
      <c r="I11" t="s">
        <v>193</v>
      </c>
      <c r="J11" t="s">
        <v>193</v>
      </c>
      <c r="K11" t="s">
        <v>193</v>
      </c>
      <c r="L11" t="s">
        <v>193</v>
      </c>
      <c r="M11">
        <v>16.4146792614889</v>
      </c>
      <c r="N11">
        <v>16.9559990794341</v>
      </c>
      <c r="O11">
        <v>18.1377693155704</v>
      </c>
      <c r="P11" t="s">
        <v>193</v>
      </c>
    </row>
    <row r="12" spans="1:16" ht="12.75">
      <c r="A12" s="62" t="str">
        <f t="shared" si="0"/>
        <v>Azerbaijan_General government final consumption expenditure (% of GDP)</v>
      </c>
      <c r="B12" t="s">
        <v>444</v>
      </c>
      <c r="C12" t="s">
        <v>205</v>
      </c>
      <c r="D12" t="s">
        <v>540</v>
      </c>
      <c r="E12" t="s">
        <v>541</v>
      </c>
      <c r="F12">
        <v>12.0176820755005</v>
      </c>
      <c r="G12">
        <v>12.6125612258911</v>
      </c>
      <c r="H12">
        <v>15.1588954925537</v>
      </c>
      <c r="I12">
        <v>15.6139736175537</v>
      </c>
      <c r="J12">
        <v>15.1501665115356</v>
      </c>
      <c r="K12">
        <v>13.6466245651245</v>
      </c>
      <c r="L12">
        <v>12.4039163589478</v>
      </c>
      <c r="M12">
        <v>12.3884420394897</v>
      </c>
      <c r="N12">
        <v>11.4168481826782</v>
      </c>
      <c r="O12">
        <v>11.6121110916138</v>
      </c>
      <c r="P12">
        <v>8.96775531768799</v>
      </c>
    </row>
    <row r="13" spans="1:16" ht="12.75">
      <c r="A13" s="62" t="str">
        <f t="shared" si="0"/>
        <v>Azerbaijan_Expense (% of GDP)</v>
      </c>
      <c r="B13" t="s">
        <v>444</v>
      </c>
      <c r="C13" t="s">
        <v>205</v>
      </c>
      <c r="D13" t="s">
        <v>542</v>
      </c>
      <c r="E13" t="s">
        <v>543</v>
      </c>
      <c r="F13">
        <v>15.8077097605246</v>
      </c>
      <c r="G13">
        <v>16.2214753087676</v>
      </c>
      <c r="H13">
        <v>18.7677393607641</v>
      </c>
      <c r="I13">
        <v>19.0096425020442</v>
      </c>
      <c r="J13" t="s">
        <v>193</v>
      </c>
      <c r="K13" t="s">
        <v>193</v>
      </c>
      <c r="L13" t="s">
        <v>193</v>
      </c>
      <c r="M13" t="s">
        <v>193</v>
      </c>
      <c r="N13" t="s">
        <v>193</v>
      </c>
      <c r="O13" t="s">
        <v>193</v>
      </c>
      <c r="P13" t="s">
        <v>193</v>
      </c>
    </row>
    <row r="14" spans="1:16" ht="12.75">
      <c r="A14" s="62" t="str">
        <f t="shared" si="0"/>
        <v>Bahrain_General government final consumption expenditure (% of GDP)</v>
      </c>
      <c r="B14" t="s">
        <v>445</v>
      </c>
      <c r="C14" t="s">
        <v>197</v>
      </c>
      <c r="D14" t="s">
        <v>540</v>
      </c>
      <c r="E14" t="s">
        <v>541</v>
      </c>
      <c r="F14">
        <v>20.2371101379395</v>
      </c>
      <c r="G14">
        <v>19.4822597503662</v>
      </c>
      <c r="H14">
        <v>20.7646980285645</v>
      </c>
      <c r="I14">
        <v>20.8154258728027</v>
      </c>
      <c r="J14">
        <v>17.5514698028564</v>
      </c>
      <c r="K14">
        <v>18.4690723419189</v>
      </c>
      <c r="L14">
        <v>18.5329761505127</v>
      </c>
      <c r="M14">
        <v>18.43483543396</v>
      </c>
      <c r="N14">
        <v>17.0414199829102</v>
      </c>
      <c r="O14" t="s">
        <v>193</v>
      </c>
      <c r="P14" t="s">
        <v>193</v>
      </c>
    </row>
    <row r="15" spans="1:16" ht="12.75">
      <c r="A15" s="62" t="str">
        <f t="shared" si="0"/>
        <v>Bahrain_Expense (% of GDP)</v>
      </c>
      <c r="B15" t="s">
        <v>445</v>
      </c>
      <c r="C15" t="s">
        <v>197</v>
      </c>
      <c r="D15" t="s">
        <v>542</v>
      </c>
      <c r="E15" t="s">
        <v>543</v>
      </c>
      <c r="F15">
        <v>22.9743286429567</v>
      </c>
      <c r="G15">
        <v>23.4951609535729</v>
      </c>
      <c r="H15">
        <v>24.863446391282</v>
      </c>
      <c r="I15">
        <v>24.9889545687647</v>
      </c>
      <c r="J15">
        <v>23.5877065419534</v>
      </c>
      <c r="K15">
        <v>24.610895998321</v>
      </c>
      <c r="L15">
        <v>27.4043761614796</v>
      </c>
      <c r="M15">
        <v>24.8923745637544</v>
      </c>
      <c r="N15">
        <v>24.093708675522</v>
      </c>
      <c r="O15">
        <v>24.2230781916384</v>
      </c>
      <c r="P15" t="s">
        <v>193</v>
      </c>
    </row>
    <row r="16" spans="1:16" ht="12.75">
      <c r="A16" s="62" t="str">
        <f t="shared" si="0"/>
        <v>Bangladesh_General government final consumption expenditure (% of GDP)</v>
      </c>
      <c r="B16" t="s">
        <v>446</v>
      </c>
      <c r="C16" t="s">
        <v>234</v>
      </c>
      <c r="D16" t="s">
        <v>540</v>
      </c>
      <c r="E16" t="s">
        <v>541</v>
      </c>
      <c r="F16">
        <v>4.40375375747681</v>
      </c>
      <c r="G16">
        <v>4.36433029174805</v>
      </c>
      <c r="H16">
        <v>4.72937488555908</v>
      </c>
      <c r="I16">
        <v>4.58927297592163</v>
      </c>
      <c r="J16">
        <v>4.57159948348999</v>
      </c>
      <c r="K16">
        <v>4.50611782073975</v>
      </c>
      <c r="L16">
        <v>5.00148248672485</v>
      </c>
      <c r="M16">
        <v>5.34662818908691</v>
      </c>
      <c r="N16">
        <v>5.52798414230347</v>
      </c>
      <c r="O16">
        <v>5.53814744949341</v>
      </c>
      <c r="P16">
        <v>5.55533933639526</v>
      </c>
    </row>
    <row r="17" spans="1:16" ht="12.75">
      <c r="A17" s="62" t="str">
        <f t="shared" si="0"/>
        <v>Bangladesh_Expense (% of GDP)</v>
      </c>
      <c r="B17" t="s">
        <v>446</v>
      </c>
      <c r="C17" t="s">
        <v>234</v>
      </c>
      <c r="D17" t="s">
        <v>542</v>
      </c>
      <c r="E17" t="s">
        <v>543</v>
      </c>
      <c r="F17" t="s">
        <v>193</v>
      </c>
      <c r="G17" t="s">
        <v>193</v>
      </c>
      <c r="H17" t="s">
        <v>193</v>
      </c>
      <c r="I17" t="s">
        <v>193</v>
      </c>
      <c r="J17" t="s">
        <v>193</v>
      </c>
      <c r="K17">
        <v>9.02323559916521</v>
      </c>
      <c r="L17">
        <v>9.07305763241429</v>
      </c>
      <c r="M17">
        <v>9.08062298752796</v>
      </c>
      <c r="N17">
        <v>8.75428627884623</v>
      </c>
      <c r="O17" t="s">
        <v>193</v>
      </c>
      <c r="P17" t="s">
        <v>193</v>
      </c>
    </row>
    <row r="18" spans="1:16" ht="12.75">
      <c r="A18" s="62" t="str">
        <f t="shared" si="0"/>
        <v>Belarus_General government final consumption expenditure (% of GDP)</v>
      </c>
      <c r="B18" t="s">
        <v>447</v>
      </c>
      <c r="C18" t="s">
        <v>206</v>
      </c>
      <c r="D18" t="s">
        <v>540</v>
      </c>
      <c r="E18" t="s">
        <v>541</v>
      </c>
      <c r="F18">
        <v>20.5516910552979</v>
      </c>
      <c r="G18">
        <v>20.3220500946045</v>
      </c>
      <c r="H18">
        <v>19.8647155761719</v>
      </c>
      <c r="I18">
        <v>19.5036449432373</v>
      </c>
      <c r="J18">
        <v>19.4785308837891</v>
      </c>
      <c r="K18">
        <v>21.5527687072754</v>
      </c>
      <c r="L18">
        <v>21.0292949676514</v>
      </c>
      <c r="M18">
        <v>21.3793048858643</v>
      </c>
      <c r="N18">
        <v>20.603178024292</v>
      </c>
      <c r="O18">
        <v>19.5716323852539</v>
      </c>
      <c r="P18">
        <v>18.5046119689941</v>
      </c>
    </row>
    <row r="19" spans="1:16" ht="12.75">
      <c r="A19" s="62" t="str">
        <f t="shared" si="0"/>
        <v>Belarus_Expense (% of GDP)</v>
      </c>
      <c r="B19" t="s">
        <v>447</v>
      </c>
      <c r="C19" t="s">
        <v>206</v>
      </c>
      <c r="D19" t="s">
        <v>542</v>
      </c>
      <c r="E19" t="s">
        <v>543</v>
      </c>
      <c r="F19">
        <v>27.7234256303263</v>
      </c>
      <c r="G19">
        <v>27.2143976458787</v>
      </c>
      <c r="H19">
        <v>25.904340459027</v>
      </c>
      <c r="I19">
        <v>27.0587692673827</v>
      </c>
      <c r="J19">
        <v>25.3401664717937</v>
      </c>
      <c r="K19">
        <v>26.8710545229631</v>
      </c>
      <c r="L19">
        <v>24.6783832182339</v>
      </c>
      <c r="M19">
        <v>28.2128159022006</v>
      </c>
      <c r="N19">
        <v>28.1761347034559</v>
      </c>
      <c r="O19">
        <v>29.7667450617895</v>
      </c>
      <c r="P19" t="s">
        <v>193</v>
      </c>
    </row>
    <row r="20" spans="1:16" ht="12.75">
      <c r="A20" s="62" t="str">
        <f t="shared" si="0"/>
        <v>Benin_General government final consumption expenditure (% of GDP)</v>
      </c>
      <c r="B20" t="s">
        <v>448</v>
      </c>
      <c r="C20" t="s">
        <v>133</v>
      </c>
      <c r="D20" t="s">
        <v>540</v>
      </c>
      <c r="E20" t="s">
        <v>541</v>
      </c>
      <c r="F20">
        <v>10.6704702377319</v>
      </c>
      <c r="G20">
        <v>10.1984243392944</v>
      </c>
      <c r="H20">
        <v>9.38048839569092</v>
      </c>
      <c r="I20">
        <v>10.0220861434937</v>
      </c>
      <c r="J20">
        <v>11.5631160736084</v>
      </c>
      <c r="K20">
        <v>11.6390409469604</v>
      </c>
      <c r="L20">
        <v>12.4546432495117</v>
      </c>
      <c r="M20">
        <v>13.2936792373657</v>
      </c>
      <c r="N20">
        <v>13.6002244949341</v>
      </c>
      <c r="O20">
        <v>14.9944725036621</v>
      </c>
      <c r="P20" t="s">
        <v>193</v>
      </c>
    </row>
    <row r="21" spans="1:16" ht="12.75">
      <c r="A21" s="62" t="str">
        <f t="shared" si="0"/>
        <v>Benin_Expense (% of GDP)</v>
      </c>
      <c r="B21" t="s">
        <v>448</v>
      </c>
      <c r="C21" t="s">
        <v>133</v>
      </c>
      <c r="D21" t="s">
        <v>542</v>
      </c>
      <c r="E21" t="s">
        <v>543</v>
      </c>
      <c r="F21" t="s">
        <v>193</v>
      </c>
      <c r="G21" t="s">
        <v>193</v>
      </c>
      <c r="H21" t="s">
        <v>193</v>
      </c>
      <c r="I21" t="s">
        <v>193</v>
      </c>
      <c r="J21" t="s">
        <v>193</v>
      </c>
      <c r="K21" t="s">
        <v>193</v>
      </c>
      <c r="L21" t="s">
        <v>193</v>
      </c>
      <c r="M21" t="s">
        <v>193</v>
      </c>
      <c r="N21" t="s">
        <v>193</v>
      </c>
      <c r="O21">
        <v>24.7178359839027</v>
      </c>
      <c r="P21" t="s">
        <v>193</v>
      </c>
    </row>
    <row r="22" spans="1:16" ht="12.75">
      <c r="A22" s="62" t="str">
        <f t="shared" si="0"/>
        <v>Bolivia_General government final consumption expenditure (% of GDP)</v>
      </c>
      <c r="B22" t="s">
        <v>449</v>
      </c>
      <c r="C22" t="s">
        <v>238</v>
      </c>
      <c r="D22" t="s">
        <v>540</v>
      </c>
      <c r="E22" t="s">
        <v>541</v>
      </c>
      <c r="F22">
        <v>13.3272666931152</v>
      </c>
      <c r="G22">
        <v>13.9035291671753</v>
      </c>
      <c r="H22">
        <v>14.2188711166382</v>
      </c>
      <c r="I22">
        <v>14.7978925704956</v>
      </c>
      <c r="J22">
        <v>14.5392999649048</v>
      </c>
      <c r="K22">
        <v>15.7241306304932</v>
      </c>
      <c r="L22">
        <v>15.9678897857666</v>
      </c>
      <c r="M22">
        <v>16.5211410522461</v>
      </c>
      <c r="N22">
        <v>15.2270278930664</v>
      </c>
      <c r="O22">
        <v>14.1177425384521</v>
      </c>
      <c r="P22">
        <v>12.7373638153076</v>
      </c>
    </row>
    <row r="23" spans="1:16" ht="12.75">
      <c r="A23" s="62" t="str">
        <f t="shared" si="0"/>
        <v>Bolivia_Expense (% of GDP)</v>
      </c>
      <c r="B23" t="s">
        <v>449</v>
      </c>
      <c r="C23" t="s">
        <v>238</v>
      </c>
      <c r="D23" t="s">
        <v>542</v>
      </c>
      <c r="E23" t="s">
        <v>543</v>
      </c>
      <c r="F23" t="s">
        <v>193</v>
      </c>
      <c r="G23" t="s">
        <v>193</v>
      </c>
      <c r="H23" t="s">
        <v>193</v>
      </c>
      <c r="I23" t="s">
        <v>193</v>
      </c>
      <c r="J23" t="s">
        <v>193</v>
      </c>
      <c r="K23" t="s">
        <v>193</v>
      </c>
      <c r="L23">
        <v>28.784435681389</v>
      </c>
      <c r="M23">
        <v>28.2076374593966</v>
      </c>
      <c r="N23">
        <v>27.211199955105</v>
      </c>
      <c r="O23">
        <v>26.2800087836938</v>
      </c>
      <c r="P23" t="s">
        <v>193</v>
      </c>
    </row>
    <row r="24" spans="1:16" ht="12.75">
      <c r="A24" s="62" t="str">
        <f t="shared" si="0"/>
        <v>Bosnia and Herzegovina_General government final consumption expenditure (% of GDP)</v>
      </c>
      <c r="B24" t="s">
        <v>450</v>
      </c>
      <c r="C24" t="s">
        <v>207</v>
      </c>
      <c r="D24" t="s">
        <v>540</v>
      </c>
      <c r="E24" t="s">
        <v>541</v>
      </c>
      <c r="F24" t="s">
        <v>193</v>
      </c>
      <c r="G24" t="s">
        <v>193</v>
      </c>
      <c r="H24" t="s">
        <v>193</v>
      </c>
      <c r="I24" t="s">
        <v>193</v>
      </c>
      <c r="J24" t="s">
        <v>193</v>
      </c>
      <c r="K24" t="s">
        <v>193</v>
      </c>
      <c r="L24">
        <v>26.5398025512695</v>
      </c>
      <c r="M24">
        <v>26.2999992370605</v>
      </c>
      <c r="N24">
        <v>26.1000003814697</v>
      </c>
      <c r="O24">
        <v>26.1652278900146</v>
      </c>
      <c r="P24" t="s">
        <v>193</v>
      </c>
    </row>
    <row r="25" spans="1:16" ht="12.75">
      <c r="A25" s="62" t="str">
        <f t="shared" si="0"/>
        <v>Bosnia and Herzegovina_Expense (% of GDP)</v>
      </c>
      <c r="B25" t="s">
        <v>450</v>
      </c>
      <c r="C25" t="s">
        <v>207</v>
      </c>
      <c r="D25" t="s">
        <v>542</v>
      </c>
      <c r="E25" t="s">
        <v>543</v>
      </c>
      <c r="F25" t="s">
        <v>193</v>
      </c>
      <c r="G25" t="s">
        <v>193</v>
      </c>
      <c r="H25" t="s">
        <v>193</v>
      </c>
      <c r="I25" t="s">
        <v>193</v>
      </c>
      <c r="J25" t="s">
        <v>193</v>
      </c>
      <c r="K25" t="s">
        <v>193</v>
      </c>
      <c r="L25" t="s">
        <v>193</v>
      </c>
      <c r="M25">
        <v>38.5786552873896</v>
      </c>
      <c r="N25">
        <v>36.0608467235638</v>
      </c>
      <c r="O25">
        <v>36.244182374481</v>
      </c>
      <c r="P25" t="s">
        <v>193</v>
      </c>
    </row>
    <row r="26" spans="1:16" ht="12.75">
      <c r="A26" s="62" t="str">
        <f t="shared" si="0"/>
        <v>Botswana_General government final consumption expenditure (% of GDP)</v>
      </c>
      <c r="B26" t="s">
        <v>451</v>
      </c>
      <c r="C26" t="s">
        <v>373</v>
      </c>
      <c r="D26" t="s">
        <v>540</v>
      </c>
      <c r="E26" t="s">
        <v>541</v>
      </c>
      <c r="F26">
        <v>27.3186149597168</v>
      </c>
      <c r="G26">
        <v>26.8729667663574</v>
      </c>
      <c r="H26">
        <v>27.425594329834</v>
      </c>
      <c r="I26">
        <v>27.1385860443115</v>
      </c>
      <c r="J26">
        <v>22.2924365997314</v>
      </c>
      <c r="K26">
        <v>19.6734390258789</v>
      </c>
      <c r="L26">
        <v>21.7273445129395</v>
      </c>
      <c r="M26">
        <v>22.2682704925537</v>
      </c>
      <c r="N26">
        <v>21.798999786377</v>
      </c>
      <c r="O26">
        <v>21.1663150787354</v>
      </c>
      <c r="P26">
        <v>23.4209823608398</v>
      </c>
    </row>
    <row r="27" spans="1:16" ht="12.75">
      <c r="A27" s="62" t="str">
        <f t="shared" si="0"/>
        <v>Botswana_Expense (% of GDP)</v>
      </c>
      <c r="B27" t="s">
        <v>451</v>
      </c>
      <c r="C27" t="s">
        <v>373</v>
      </c>
      <c r="D27" t="s">
        <v>542</v>
      </c>
      <c r="E27" t="s">
        <v>543</v>
      </c>
      <c r="F27">
        <v>29.2517623683869</v>
      </c>
      <c r="G27" t="s">
        <v>193</v>
      </c>
      <c r="H27" t="s">
        <v>193</v>
      </c>
      <c r="I27" t="s">
        <v>193</v>
      </c>
      <c r="J27" t="s">
        <v>193</v>
      </c>
      <c r="K27" t="s">
        <v>193</v>
      </c>
      <c r="L27" t="s">
        <v>193</v>
      </c>
      <c r="M27" t="s">
        <v>193</v>
      </c>
      <c r="N27" t="s">
        <v>193</v>
      </c>
      <c r="O27" t="s">
        <v>193</v>
      </c>
      <c r="P27" t="s">
        <v>193</v>
      </c>
    </row>
    <row r="28" spans="1:16" ht="12.75">
      <c r="A28" s="62" t="str">
        <f t="shared" si="0"/>
        <v>Brazil_General government final consumption expenditure (% of GDP)</v>
      </c>
      <c r="B28" t="s">
        <v>452</v>
      </c>
      <c r="C28" t="s">
        <v>239</v>
      </c>
      <c r="D28" t="s">
        <v>540</v>
      </c>
      <c r="E28" t="s">
        <v>541</v>
      </c>
      <c r="F28">
        <v>20.0959758758545</v>
      </c>
      <c r="G28">
        <v>19.8962459564209</v>
      </c>
      <c r="H28">
        <v>20.6384315490723</v>
      </c>
      <c r="I28">
        <v>20.2980480194092</v>
      </c>
      <c r="J28">
        <v>19.168176651001</v>
      </c>
      <c r="K28">
        <v>19.8168849945068</v>
      </c>
      <c r="L28">
        <v>20.5737895965576</v>
      </c>
      <c r="M28">
        <v>19.3885936737061</v>
      </c>
      <c r="N28">
        <v>19.2265968322754</v>
      </c>
      <c r="O28">
        <v>20.0518264770508</v>
      </c>
      <c r="P28">
        <v>19.9329433441162</v>
      </c>
    </row>
    <row r="29" spans="1:16" ht="12.75">
      <c r="A29" s="62" t="str">
        <f t="shared" si="0"/>
        <v>Brazil_Expense (% of GDP)</v>
      </c>
      <c r="B29" t="s">
        <v>452</v>
      </c>
      <c r="C29" t="s">
        <v>239</v>
      </c>
      <c r="D29" t="s">
        <v>542</v>
      </c>
      <c r="E29" t="s">
        <v>543</v>
      </c>
      <c r="F29" t="s">
        <v>193</v>
      </c>
      <c r="G29">
        <v>22.1162181841099</v>
      </c>
      <c r="H29">
        <v>24.4655275112078</v>
      </c>
      <c r="I29" t="s">
        <v>193</v>
      </c>
      <c r="J29" t="s">
        <v>193</v>
      </c>
      <c r="K29" t="s">
        <v>193</v>
      </c>
      <c r="L29" t="s">
        <v>193</v>
      </c>
      <c r="M29" t="s">
        <v>193</v>
      </c>
      <c r="N29" t="s">
        <v>193</v>
      </c>
      <c r="O29" t="s">
        <v>193</v>
      </c>
      <c r="P29" t="s">
        <v>193</v>
      </c>
    </row>
    <row r="30" spans="1:16" ht="12.75">
      <c r="A30" s="62" t="str">
        <f t="shared" si="0"/>
        <v>Bulgaria_General government final consumption expenditure (% of GDP)</v>
      </c>
      <c r="B30" t="s">
        <v>453</v>
      </c>
      <c r="C30" t="s">
        <v>208</v>
      </c>
      <c r="D30" t="s">
        <v>540</v>
      </c>
      <c r="E30" t="s">
        <v>541</v>
      </c>
      <c r="F30">
        <v>11.9413661956787</v>
      </c>
      <c r="G30">
        <v>12.5519018173218</v>
      </c>
      <c r="H30">
        <v>15.3439645767212</v>
      </c>
      <c r="I30">
        <v>16.5486640930176</v>
      </c>
      <c r="J30">
        <v>17.8859558105469</v>
      </c>
      <c r="K30">
        <v>17.4241161346436</v>
      </c>
      <c r="L30">
        <v>17.9997062683105</v>
      </c>
      <c r="M30">
        <v>18.9308834075928</v>
      </c>
      <c r="N30">
        <v>18.3096790313721</v>
      </c>
      <c r="O30">
        <v>18.7023010253906</v>
      </c>
      <c r="P30">
        <v>18.2961673736572</v>
      </c>
    </row>
    <row r="31" spans="1:16" ht="12.75">
      <c r="A31" s="62" t="str">
        <f t="shared" si="0"/>
        <v>Bulgaria_Expense (% of GDP)</v>
      </c>
      <c r="B31" t="s">
        <v>453</v>
      </c>
      <c r="C31" t="s">
        <v>208</v>
      </c>
      <c r="D31" t="s">
        <v>542</v>
      </c>
      <c r="E31" t="s">
        <v>543</v>
      </c>
      <c r="F31">
        <v>46.4794474857324</v>
      </c>
      <c r="G31">
        <v>31.042555003155</v>
      </c>
      <c r="H31">
        <v>29.6985222131177</v>
      </c>
      <c r="I31">
        <v>31.020286556403</v>
      </c>
      <c r="J31">
        <v>32.3151815614841</v>
      </c>
      <c r="K31">
        <v>31.2801260118344</v>
      </c>
      <c r="L31">
        <v>32.5083972363252</v>
      </c>
      <c r="M31">
        <v>33.8198814350531</v>
      </c>
      <c r="N31">
        <v>34.5830856455425</v>
      </c>
      <c r="O31">
        <v>33.6375065375174</v>
      </c>
      <c r="P31" t="s">
        <v>193</v>
      </c>
    </row>
    <row r="32" spans="1:16" ht="12.75">
      <c r="A32" s="62" t="str">
        <f t="shared" si="0"/>
        <v>Burkina Faso_General government final consumption expenditure (% of GDP)</v>
      </c>
      <c r="B32" t="s">
        <v>454</v>
      </c>
      <c r="C32" t="s">
        <v>136</v>
      </c>
      <c r="D32" t="s">
        <v>540</v>
      </c>
      <c r="E32" t="s">
        <v>541</v>
      </c>
      <c r="F32">
        <v>13.527982711792</v>
      </c>
      <c r="G32">
        <v>13.0336170196533</v>
      </c>
      <c r="H32">
        <v>13.2499885559082</v>
      </c>
      <c r="I32">
        <v>12.4594259262085</v>
      </c>
      <c r="J32">
        <v>12.6331596374512</v>
      </c>
      <c r="K32">
        <v>12.1887636184692</v>
      </c>
      <c r="L32">
        <v>13.1407051086426</v>
      </c>
      <c r="M32">
        <v>12.7586526870728</v>
      </c>
      <c r="N32" t="s">
        <v>193</v>
      </c>
      <c r="O32" t="s">
        <v>193</v>
      </c>
      <c r="P32" t="s">
        <v>193</v>
      </c>
    </row>
    <row r="33" spans="1:16" ht="12.75">
      <c r="A33" s="62" t="str">
        <f t="shared" si="0"/>
        <v>Burkina Faso_Expense (% of GDP)</v>
      </c>
      <c r="B33" t="s">
        <v>454</v>
      </c>
      <c r="C33" t="s">
        <v>136</v>
      </c>
      <c r="D33" t="s">
        <v>542</v>
      </c>
      <c r="E33" t="s">
        <v>543</v>
      </c>
      <c r="F33" t="s">
        <v>193</v>
      </c>
      <c r="G33" t="s">
        <v>193</v>
      </c>
      <c r="H33" t="s">
        <v>193</v>
      </c>
      <c r="I33" t="s">
        <v>193</v>
      </c>
      <c r="J33" t="s">
        <v>193</v>
      </c>
      <c r="K33" t="s">
        <v>193</v>
      </c>
      <c r="L33" t="s">
        <v>193</v>
      </c>
      <c r="M33" t="s">
        <v>193</v>
      </c>
      <c r="N33">
        <v>10.2769599084458</v>
      </c>
      <c r="O33">
        <v>10.6289172839068</v>
      </c>
      <c r="P33" t="s">
        <v>193</v>
      </c>
    </row>
    <row r="34" spans="1:16" ht="12.75">
      <c r="A34" s="62" t="str">
        <f t="shared" si="0"/>
        <v>Cambodia_General government final consumption expenditure (% of GDP)</v>
      </c>
      <c r="B34" t="s">
        <v>455</v>
      </c>
      <c r="C34" t="s">
        <v>226</v>
      </c>
      <c r="D34" t="s">
        <v>540</v>
      </c>
      <c r="E34" t="s">
        <v>541</v>
      </c>
      <c r="F34">
        <v>5.75723457336426</v>
      </c>
      <c r="G34">
        <v>5.45954513549805</v>
      </c>
      <c r="H34">
        <v>4.80509948730469</v>
      </c>
      <c r="I34">
        <v>4.93153142929077</v>
      </c>
      <c r="J34">
        <v>5.23017311096191</v>
      </c>
      <c r="K34">
        <v>5.31417083740234</v>
      </c>
      <c r="L34">
        <v>5.44608783721924</v>
      </c>
      <c r="M34">
        <v>5.3424072265625</v>
      </c>
      <c r="N34">
        <v>4.54670143127441</v>
      </c>
      <c r="O34">
        <v>4.1348819732666</v>
      </c>
      <c r="P34" t="s">
        <v>193</v>
      </c>
    </row>
    <row r="35" spans="1:16" ht="12.75">
      <c r="A35" s="62" t="str">
        <f t="shared" si="0"/>
        <v>Cambodia_Expense (% of GDP)</v>
      </c>
      <c r="B35" t="s">
        <v>455</v>
      </c>
      <c r="C35" t="s">
        <v>226</v>
      </c>
      <c r="D35" t="s">
        <v>542</v>
      </c>
      <c r="E35" t="s">
        <v>543</v>
      </c>
      <c r="F35" t="s">
        <v>193</v>
      </c>
      <c r="G35" t="s">
        <v>193</v>
      </c>
      <c r="H35" t="s">
        <v>193</v>
      </c>
      <c r="I35" t="s">
        <v>193</v>
      </c>
      <c r="J35" t="s">
        <v>193</v>
      </c>
      <c r="K35" t="s">
        <v>193</v>
      </c>
      <c r="L35">
        <v>9.38760185438181</v>
      </c>
      <c r="M35">
        <v>9.43610718651954</v>
      </c>
      <c r="N35">
        <v>8.29521853880234</v>
      </c>
      <c r="O35">
        <v>7.71188389801064</v>
      </c>
      <c r="P35" t="s">
        <v>193</v>
      </c>
    </row>
    <row r="36" spans="1:16" ht="12.75">
      <c r="A36" s="62" t="str">
        <f t="shared" si="0"/>
        <v>Chile_General government final consumption expenditure (% of GDP)</v>
      </c>
      <c r="B36" t="s">
        <v>456</v>
      </c>
      <c r="C36" t="s">
        <v>240</v>
      </c>
      <c r="D36" t="s">
        <v>540</v>
      </c>
      <c r="E36" t="s">
        <v>541</v>
      </c>
      <c r="F36">
        <v>10.9678373336792</v>
      </c>
      <c r="G36">
        <v>11.1180381774902</v>
      </c>
      <c r="H36">
        <v>11.4879884719849</v>
      </c>
      <c r="I36">
        <v>12.3963613510132</v>
      </c>
      <c r="J36">
        <v>12.4555053710938</v>
      </c>
      <c r="K36">
        <v>12.5888261795044</v>
      </c>
      <c r="L36">
        <v>12.8262491226196</v>
      </c>
      <c r="M36">
        <v>12.0145578384399</v>
      </c>
      <c r="N36">
        <v>11.4034843444824</v>
      </c>
      <c r="O36">
        <v>10.8936939239502</v>
      </c>
      <c r="P36" t="s">
        <v>193</v>
      </c>
    </row>
    <row r="37" spans="1:16" ht="12.75">
      <c r="A37" s="62" t="str">
        <f t="shared" si="0"/>
        <v>Chile_Expense (% of GDP)</v>
      </c>
      <c r="B37" t="s">
        <v>456</v>
      </c>
      <c r="C37" t="s">
        <v>240</v>
      </c>
      <c r="D37" t="s">
        <v>542</v>
      </c>
      <c r="E37" t="s">
        <v>543</v>
      </c>
      <c r="F37" t="s">
        <v>193</v>
      </c>
      <c r="G37" t="s">
        <v>193</v>
      </c>
      <c r="H37" t="s">
        <v>193</v>
      </c>
      <c r="I37" t="s">
        <v>193</v>
      </c>
      <c r="J37" t="s">
        <v>193</v>
      </c>
      <c r="K37">
        <v>20.0338316977009</v>
      </c>
      <c r="L37">
        <v>20.1366027645353</v>
      </c>
      <c r="M37">
        <v>20.1933419503172</v>
      </c>
      <c r="N37">
        <v>18.9953685156788</v>
      </c>
      <c r="O37">
        <v>18.1481425907314</v>
      </c>
      <c r="P37" t="s">
        <v>193</v>
      </c>
    </row>
    <row r="38" spans="1:16" ht="12.75">
      <c r="A38" s="62" t="str">
        <f t="shared" si="0"/>
        <v>Colombia_General government final consumption expenditure (% of GDP)</v>
      </c>
      <c r="B38" t="s">
        <v>457</v>
      </c>
      <c r="C38" t="s">
        <v>241</v>
      </c>
      <c r="D38" t="s">
        <v>540</v>
      </c>
      <c r="E38" t="s">
        <v>541</v>
      </c>
      <c r="F38">
        <v>18.4645957946777</v>
      </c>
      <c r="G38">
        <v>20.4113521575928</v>
      </c>
      <c r="H38">
        <v>20.8361129760742</v>
      </c>
      <c r="I38">
        <v>22.7344532012939</v>
      </c>
      <c r="J38">
        <v>21.7228660583496</v>
      </c>
      <c r="K38">
        <v>21.6247863769531</v>
      </c>
      <c r="L38">
        <v>20.6718673706055</v>
      </c>
      <c r="M38">
        <v>19.7419414520264</v>
      </c>
      <c r="N38">
        <v>18.8142242431641</v>
      </c>
      <c r="O38">
        <v>18.7775230407715</v>
      </c>
      <c r="P38">
        <v>7.6545147895813</v>
      </c>
    </row>
    <row r="39" spans="1:16" ht="12.75">
      <c r="A39" s="62" t="str">
        <f t="shared" si="0"/>
        <v>Colombia_Expense (% of GDP)</v>
      </c>
      <c r="B39" t="s">
        <v>457</v>
      </c>
      <c r="C39" t="s">
        <v>241</v>
      </c>
      <c r="D39" t="s">
        <v>542</v>
      </c>
      <c r="E39" t="s">
        <v>543</v>
      </c>
      <c r="F39" t="s">
        <v>193</v>
      </c>
      <c r="G39" t="s">
        <v>193</v>
      </c>
      <c r="H39" t="s">
        <v>193</v>
      </c>
      <c r="I39" t="s">
        <v>193</v>
      </c>
      <c r="J39" t="s">
        <v>193</v>
      </c>
      <c r="K39" t="s">
        <v>193</v>
      </c>
      <c r="L39" t="s">
        <v>193</v>
      </c>
      <c r="M39">
        <v>32.9201037775294</v>
      </c>
      <c r="N39">
        <v>32.6506250858732</v>
      </c>
      <c r="O39">
        <v>31.1913059912154</v>
      </c>
      <c r="P39" t="s">
        <v>193</v>
      </c>
    </row>
    <row r="40" spans="1:16" ht="12.75">
      <c r="A40" s="62" t="str">
        <f t="shared" si="0"/>
        <v>China_General government final consumption expenditure (% of GDP)</v>
      </c>
      <c r="B40" t="s">
        <v>458</v>
      </c>
      <c r="C40" t="s">
        <v>459</v>
      </c>
      <c r="D40" t="s">
        <v>540</v>
      </c>
      <c r="E40" t="s">
        <v>541</v>
      </c>
      <c r="F40">
        <v>13.9983425140381</v>
      </c>
      <c r="G40">
        <v>14.2062473297119</v>
      </c>
      <c r="H40">
        <v>14.6428995132446</v>
      </c>
      <c r="I40">
        <v>15.295449256897</v>
      </c>
      <c r="J40">
        <v>15.7853145599365</v>
      </c>
      <c r="K40">
        <v>16.1097068786621</v>
      </c>
      <c r="L40">
        <v>15.8891572952271</v>
      </c>
      <c r="M40">
        <v>15.1779155731201</v>
      </c>
      <c r="N40">
        <v>14.5106897354126</v>
      </c>
      <c r="O40">
        <v>14.1471605300903</v>
      </c>
      <c r="P40">
        <v>11.0795001983643</v>
      </c>
    </row>
    <row r="41" spans="1:16" ht="12.75">
      <c r="A41" s="62" t="str">
        <f t="shared" si="0"/>
        <v>China_Expense (% of GDP)</v>
      </c>
      <c r="B41" t="s">
        <v>458</v>
      </c>
      <c r="C41" t="s">
        <v>459</v>
      </c>
      <c r="D41" t="s">
        <v>542</v>
      </c>
      <c r="E41" t="s">
        <v>543</v>
      </c>
      <c r="F41" t="s">
        <v>193</v>
      </c>
      <c r="G41" t="s">
        <v>193</v>
      </c>
      <c r="H41" t="s">
        <v>193</v>
      </c>
      <c r="I41" t="s">
        <v>193</v>
      </c>
      <c r="J41" t="s">
        <v>193</v>
      </c>
      <c r="K41" t="s">
        <v>193</v>
      </c>
      <c r="L41">
        <v>10.733479269466</v>
      </c>
      <c r="M41">
        <v>10.4481565242776</v>
      </c>
      <c r="N41">
        <v>11.1236771007169</v>
      </c>
      <c r="O41" t="s">
        <v>193</v>
      </c>
      <c r="P41" t="s">
        <v>193</v>
      </c>
    </row>
    <row r="42" spans="1:16" ht="12.75">
      <c r="A42" s="62" t="str">
        <f t="shared" si="0"/>
        <v>Costa Rica_General government final consumption expenditure (% of GDP)</v>
      </c>
      <c r="B42" t="s">
        <v>460</v>
      </c>
      <c r="C42" t="s">
        <v>242</v>
      </c>
      <c r="D42" t="s">
        <v>540</v>
      </c>
      <c r="E42" t="s">
        <v>541</v>
      </c>
      <c r="F42">
        <v>13.4333610534668</v>
      </c>
      <c r="G42">
        <v>13.0725269317627</v>
      </c>
      <c r="H42">
        <v>12.9612045288086</v>
      </c>
      <c r="I42">
        <v>12.5246391296387</v>
      </c>
      <c r="J42">
        <v>13.2801694869995</v>
      </c>
      <c r="K42">
        <v>14.3212728500366</v>
      </c>
      <c r="L42">
        <v>14.8182420730591</v>
      </c>
      <c r="M42">
        <v>14.4818668365479</v>
      </c>
      <c r="N42">
        <v>14.1325950622559</v>
      </c>
      <c r="O42">
        <v>13.8656044006348</v>
      </c>
      <c r="P42" t="s">
        <v>193</v>
      </c>
    </row>
    <row r="43" spans="1:16" ht="12.75">
      <c r="A43" s="62" t="str">
        <f t="shared" si="0"/>
        <v>Costa Rica_Expense (% of GDP)</v>
      </c>
      <c r="B43" t="s">
        <v>460</v>
      </c>
      <c r="C43" t="s">
        <v>242</v>
      </c>
      <c r="D43" t="s">
        <v>542</v>
      </c>
      <c r="E43" t="s">
        <v>543</v>
      </c>
      <c r="F43">
        <v>22.1784370230075</v>
      </c>
      <c r="G43">
        <v>21.0370591195472</v>
      </c>
      <c r="H43">
        <v>20.4466910178128</v>
      </c>
      <c r="I43">
        <v>19.9644858534431</v>
      </c>
      <c r="J43">
        <v>20.7453539402729</v>
      </c>
      <c r="K43">
        <v>22.1658888205626</v>
      </c>
      <c r="L43">
        <v>24.2074319868271</v>
      </c>
      <c r="M43">
        <v>23.2946572454113</v>
      </c>
      <c r="N43">
        <v>22.546714441732</v>
      </c>
      <c r="O43">
        <v>22.7274376275878</v>
      </c>
      <c r="P43" t="s">
        <v>193</v>
      </c>
    </row>
    <row r="44" spans="1:16" ht="12.75">
      <c r="A44" s="62" t="str">
        <f t="shared" si="0"/>
        <v>Croatia_General government final consumption expenditure (% of GDP)</v>
      </c>
      <c r="B44" t="s">
        <v>461</v>
      </c>
      <c r="C44" t="s">
        <v>209</v>
      </c>
      <c r="D44" t="s">
        <v>540</v>
      </c>
      <c r="E44" t="s">
        <v>541</v>
      </c>
      <c r="F44">
        <v>25.4442100524902</v>
      </c>
      <c r="G44">
        <v>24.3828620910645</v>
      </c>
      <c r="H44">
        <v>25.4123973846436</v>
      </c>
      <c r="I44">
        <v>26.5223522186279</v>
      </c>
      <c r="J44">
        <v>24.802978515625</v>
      </c>
      <c r="K44">
        <v>21.9749412536621</v>
      </c>
      <c r="L44">
        <v>21.5543460845947</v>
      </c>
      <c r="M44">
        <v>20.9779281616211</v>
      </c>
      <c r="N44">
        <v>20.0423355102539</v>
      </c>
      <c r="O44">
        <v>19.4650173187256</v>
      </c>
      <c r="P44">
        <v>18.4865188598633</v>
      </c>
    </row>
    <row r="45" spans="1:16" ht="12.75">
      <c r="A45" s="62" t="str">
        <f t="shared" si="0"/>
        <v>Croatia_Expense (% of GDP)</v>
      </c>
      <c r="B45" t="s">
        <v>461</v>
      </c>
      <c r="C45" t="s">
        <v>209</v>
      </c>
      <c r="D45" t="s">
        <v>542</v>
      </c>
      <c r="E45" t="s">
        <v>543</v>
      </c>
      <c r="F45">
        <v>42.0964097391376</v>
      </c>
      <c r="G45">
        <v>41.5589814423948</v>
      </c>
      <c r="H45">
        <v>43.1142732846409</v>
      </c>
      <c r="I45">
        <v>45.1288368259558</v>
      </c>
      <c r="J45">
        <v>45.7143469791494</v>
      </c>
      <c r="K45">
        <v>43.3472803794773</v>
      </c>
      <c r="L45">
        <v>41.6309035122629</v>
      </c>
      <c r="M45">
        <v>40.6786034260365</v>
      </c>
      <c r="N45">
        <v>40.4410396259044</v>
      </c>
      <c r="O45">
        <v>39.9097387650193</v>
      </c>
      <c r="P45" t="s">
        <v>193</v>
      </c>
    </row>
    <row r="46" spans="1:16" ht="12.75">
      <c r="A46" s="62" t="str">
        <f t="shared" si="0"/>
        <v>Czech Republic_General government final consumption expenditure (% of GDP)</v>
      </c>
      <c r="B46" t="s">
        <v>462</v>
      </c>
      <c r="C46" t="s">
        <v>210</v>
      </c>
      <c r="D46" t="s">
        <v>540</v>
      </c>
      <c r="E46" t="s">
        <v>541</v>
      </c>
      <c r="F46">
        <v>20.2228622436523</v>
      </c>
      <c r="G46">
        <v>20.9440269470215</v>
      </c>
      <c r="H46">
        <v>20.0207061767578</v>
      </c>
      <c r="I46">
        <v>21.1755390167236</v>
      </c>
      <c r="J46">
        <v>21.0551586151123</v>
      </c>
      <c r="K46">
        <v>21.1148738861084</v>
      </c>
      <c r="L46">
        <v>22.2969837188721</v>
      </c>
      <c r="M46">
        <v>23.4050941467285</v>
      </c>
      <c r="N46">
        <v>22.4440326690674</v>
      </c>
      <c r="O46">
        <v>22.3245372772217</v>
      </c>
      <c r="P46">
        <v>21.5872802734375</v>
      </c>
    </row>
    <row r="47" spans="1:16" ht="12.75">
      <c r="A47" s="62" t="str">
        <f t="shared" si="0"/>
        <v>Czech Republic_Expense (% of GDP)</v>
      </c>
      <c r="B47" t="s">
        <v>462</v>
      </c>
      <c r="C47" t="s">
        <v>210</v>
      </c>
      <c r="D47" t="s">
        <v>542</v>
      </c>
      <c r="E47" t="s">
        <v>543</v>
      </c>
      <c r="F47">
        <v>31.529305194109</v>
      </c>
      <c r="G47">
        <v>31.7255750296534</v>
      </c>
      <c r="H47">
        <v>31.0583170314457</v>
      </c>
      <c r="I47">
        <v>31.2416833711913</v>
      </c>
      <c r="J47">
        <v>33.3943153703708</v>
      </c>
      <c r="K47">
        <v>35.3890857348283</v>
      </c>
      <c r="L47">
        <v>37.268425387468</v>
      </c>
      <c r="M47">
        <v>37.3001170294483</v>
      </c>
      <c r="N47">
        <v>35.7154825101606</v>
      </c>
      <c r="O47">
        <v>35.8684962158794</v>
      </c>
      <c r="P47" t="s">
        <v>193</v>
      </c>
    </row>
    <row r="48" spans="1:16" ht="12.75">
      <c r="A48" s="62" t="str">
        <f t="shared" si="0"/>
        <v>Djibouti_General government final consumption expenditure (% of GDP)</v>
      </c>
      <c r="B48" t="s">
        <v>463</v>
      </c>
      <c r="C48" t="s">
        <v>198</v>
      </c>
      <c r="D48" t="s">
        <v>540</v>
      </c>
      <c r="E48" t="s">
        <v>541</v>
      </c>
      <c r="F48">
        <v>30.0620765686035</v>
      </c>
      <c r="G48">
        <v>30.6227054595947</v>
      </c>
      <c r="H48">
        <v>26.2687072753906</v>
      </c>
      <c r="I48">
        <v>29.4688816070557</v>
      </c>
      <c r="J48">
        <v>29.7058238983154</v>
      </c>
      <c r="K48">
        <v>26.9209060668945</v>
      </c>
      <c r="L48">
        <v>28.2947559356689</v>
      </c>
      <c r="M48">
        <v>29.2882633209229</v>
      </c>
      <c r="N48">
        <v>29.6858100891113</v>
      </c>
      <c r="O48">
        <v>27.6124019622803</v>
      </c>
      <c r="P48" t="s">
        <v>193</v>
      </c>
    </row>
    <row r="49" spans="1:16" ht="12.75">
      <c r="A49" s="62" t="str">
        <f t="shared" si="0"/>
        <v>Djibouti_Expense (% of GDP)</v>
      </c>
      <c r="B49" t="s">
        <v>463</v>
      </c>
      <c r="C49" t="s">
        <v>198</v>
      </c>
      <c r="D49" t="s">
        <v>542</v>
      </c>
      <c r="E49" t="s">
        <v>543</v>
      </c>
      <c r="F49" t="s">
        <v>193</v>
      </c>
      <c r="G49" t="s">
        <v>193</v>
      </c>
      <c r="H49" t="s">
        <v>193</v>
      </c>
      <c r="I49" t="s">
        <v>193</v>
      </c>
      <c r="J49" t="s">
        <v>193</v>
      </c>
      <c r="K49" t="s">
        <v>193</v>
      </c>
      <c r="L49" t="s">
        <v>193</v>
      </c>
      <c r="M49" t="s">
        <v>193</v>
      </c>
      <c r="N49" t="s">
        <v>193</v>
      </c>
      <c r="O49" t="s">
        <v>193</v>
      </c>
      <c r="P49" t="s">
        <v>193</v>
      </c>
    </row>
    <row r="50" spans="1:16" ht="12.75">
      <c r="A50" s="62" t="str">
        <f t="shared" si="0"/>
        <v>Dominica_General government final consumption expenditure (% of GDP)</v>
      </c>
      <c r="B50" t="s">
        <v>464</v>
      </c>
      <c r="C50" t="s">
        <v>243</v>
      </c>
      <c r="D50" t="s">
        <v>540</v>
      </c>
      <c r="E50" t="s">
        <v>541</v>
      </c>
      <c r="F50">
        <v>20.1911029815674</v>
      </c>
      <c r="G50">
        <v>20.3945369720459</v>
      </c>
      <c r="H50">
        <v>22.0682373046875</v>
      </c>
      <c r="I50">
        <v>22.5780563354492</v>
      </c>
      <c r="J50">
        <v>21.1565780639648</v>
      </c>
      <c r="K50">
        <v>21.915678024292</v>
      </c>
      <c r="L50">
        <v>22.9684066772461</v>
      </c>
      <c r="M50">
        <v>20.3557586669922</v>
      </c>
      <c r="N50" t="s">
        <v>193</v>
      </c>
      <c r="O50" t="s">
        <v>193</v>
      </c>
      <c r="P50" t="s">
        <v>193</v>
      </c>
    </row>
    <row r="51" spans="1:16" ht="12.75">
      <c r="A51" s="62" t="str">
        <f t="shared" si="0"/>
        <v>Dominica_Expense (% of GDP)</v>
      </c>
      <c r="B51" t="s">
        <v>464</v>
      </c>
      <c r="C51" t="s">
        <v>243</v>
      </c>
      <c r="D51" t="s">
        <v>542</v>
      </c>
      <c r="E51" t="s">
        <v>543</v>
      </c>
      <c r="F51" t="s">
        <v>193</v>
      </c>
      <c r="G51" t="s">
        <v>193</v>
      </c>
      <c r="H51" t="s">
        <v>193</v>
      </c>
      <c r="I51" t="s">
        <v>193</v>
      </c>
      <c r="J51" t="s">
        <v>193</v>
      </c>
      <c r="K51" t="s">
        <v>193</v>
      </c>
      <c r="L51" t="s">
        <v>193</v>
      </c>
      <c r="M51" t="s">
        <v>193</v>
      </c>
      <c r="N51" t="s">
        <v>193</v>
      </c>
      <c r="O51" t="s">
        <v>193</v>
      </c>
      <c r="P51" t="s">
        <v>193</v>
      </c>
    </row>
    <row r="52" spans="1:16" ht="12.75">
      <c r="A52" s="62" t="str">
        <f t="shared" si="0"/>
        <v>Dominican Republic_General government final consumption expenditure (% of GDP)</v>
      </c>
      <c r="B52" t="s">
        <v>465</v>
      </c>
      <c r="C52" t="s">
        <v>244</v>
      </c>
      <c r="D52" t="s">
        <v>540</v>
      </c>
      <c r="E52" t="s">
        <v>541</v>
      </c>
      <c r="F52">
        <v>6.19999980926514</v>
      </c>
      <c r="G52">
        <v>5.50376653671265</v>
      </c>
      <c r="H52">
        <v>4.40231513977051</v>
      </c>
      <c r="I52">
        <v>8.81791019439697</v>
      </c>
      <c r="J52">
        <v>8.36220073699951</v>
      </c>
      <c r="K52">
        <v>8.9689302444458</v>
      </c>
      <c r="L52">
        <v>9.33424282073975</v>
      </c>
      <c r="M52">
        <v>8.56783103942871</v>
      </c>
      <c r="N52">
        <v>8.72616863250732</v>
      </c>
      <c r="O52">
        <v>9.77934074401855</v>
      </c>
      <c r="P52">
        <v>7.03700494766235</v>
      </c>
    </row>
    <row r="53" spans="1:16" ht="12.75">
      <c r="A53" s="62" t="str">
        <f t="shared" si="0"/>
        <v>Dominican Republic_Expense (% of GDP)</v>
      </c>
      <c r="B53" t="s">
        <v>465</v>
      </c>
      <c r="C53" t="s">
        <v>244</v>
      </c>
      <c r="D53" t="s">
        <v>542</v>
      </c>
      <c r="E53" t="s">
        <v>543</v>
      </c>
      <c r="F53">
        <v>10.362647801603</v>
      </c>
      <c r="G53">
        <v>13.3603763268497</v>
      </c>
      <c r="H53">
        <v>13.4260585146057</v>
      </c>
      <c r="I53">
        <v>13.5183094168296</v>
      </c>
      <c r="J53">
        <v>13.3147257232281</v>
      </c>
      <c r="K53">
        <v>14.1996000996571</v>
      </c>
      <c r="L53">
        <v>14.7228332530321</v>
      </c>
      <c r="M53">
        <v>13.3791741980474</v>
      </c>
      <c r="N53">
        <v>16.1697376829916</v>
      </c>
      <c r="O53" t="s">
        <v>193</v>
      </c>
      <c r="P53" t="s">
        <v>193</v>
      </c>
    </row>
    <row r="54" spans="1:16" ht="12.75">
      <c r="A54" s="62" t="str">
        <f t="shared" si="0"/>
        <v>Ecuador_General government final consumption expenditure (% of GDP)</v>
      </c>
      <c r="B54" t="s">
        <v>466</v>
      </c>
      <c r="C54" t="s">
        <v>245</v>
      </c>
      <c r="D54" t="s">
        <v>540</v>
      </c>
      <c r="E54" t="s">
        <v>541</v>
      </c>
      <c r="F54">
        <v>12.0697755813599</v>
      </c>
      <c r="G54">
        <v>12.2778816223145</v>
      </c>
      <c r="H54">
        <v>12.2812299728394</v>
      </c>
      <c r="I54">
        <v>12.5224905014038</v>
      </c>
      <c r="J54">
        <v>9.81548881530762</v>
      </c>
      <c r="K54">
        <v>10.317759513855</v>
      </c>
      <c r="L54">
        <v>10.7848272323608</v>
      </c>
      <c r="M54">
        <v>11.5613651275635</v>
      </c>
      <c r="N54">
        <v>11.3871154785156</v>
      </c>
      <c r="O54">
        <v>11.3284063339233</v>
      </c>
      <c r="P54">
        <v>12.5029916763306</v>
      </c>
    </row>
    <row r="55" spans="1:16" ht="12.75">
      <c r="A55" s="62" t="str">
        <f t="shared" si="0"/>
        <v>Ecuador_Expense (% of GDP)</v>
      </c>
      <c r="B55" t="s">
        <v>466</v>
      </c>
      <c r="C55" t="s">
        <v>245</v>
      </c>
      <c r="D55" t="s">
        <v>542</v>
      </c>
      <c r="E55" t="s">
        <v>543</v>
      </c>
      <c r="F55" t="s">
        <v>193</v>
      </c>
      <c r="G55" t="s">
        <v>193</v>
      </c>
      <c r="H55" t="s">
        <v>193</v>
      </c>
      <c r="I55" t="s">
        <v>193</v>
      </c>
      <c r="J55" t="s">
        <v>193</v>
      </c>
      <c r="K55" t="s">
        <v>193</v>
      </c>
      <c r="L55" t="s">
        <v>193</v>
      </c>
      <c r="M55" t="s">
        <v>193</v>
      </c>
      <c r="N55" t="s">
        <v>193</v>
      </c>
      <c r="O55" t="s">
        <v>193</v>
      </c>
      <c r="P55" t="s">
        <v>193</v>
      </c>
    </row>
    <row r="56" spans="1:16" ht="12.75">
      <c r="A56" s="62" t="str">
        <f t="shared" si="0"/>
        <v>Egypt, Arab Rep._General government final consumption expenditure (% of GDP)</v>
      </c>
      <c r="B56" t="s">
        <v>467</v>
      </c>
      <c r="C56" t="s">
        <v>468</v>
      </c>
      <c r="D56" t="s">
        <v>540</v>
      </c>
      <c r="E56" t="s">
        <v>541</v>
      </c>
      <c r="F56">
        <v>10.3748912811279</v>
      </c>
      <c r="G56">
        <v>11.3200454711914</v>
      </c>
      <c r="H56">
        <v>11.3082809448242</v>
      </c>
      <c r="I56">
        <v>11.6059818267822</v>
      </c>
      <c r="J56">
        <v>11.2025871276855</v>
      </c>
      <c r="K56">
        <v>11.3186502456665</v>
      </c>
      <c r="L56">
        <v>12.4571123123169</v>
      </c>
      <c r="M56">
        <v>12.6706590652466</v>
      </c>
      <c r="N56">
        <v>12.754997253418</v>
      </c>
      <c r="O56">
        <v>12.7390899658203</v>
      </c>
      <c r="P56">
        <v>12.2875185012817</v>
      </c>
    </row>
    <row r="57" spans="1:16" ht="12.75">
      <c r="A57" s="62" t="str">
        <f t="shared" si="0"/>
        <v>Egypt, Arab Rep._Expense (% of GDP)</v>
      </c>
      <c r="B57" t="s">
        <v>467</v>
      </c>
      <c r="C57" t="s">
        <v>468</v>
      </c>
      <c r="D57" t="s">
        <v>542</v>
      </c>
      <c r="E57" t="s">
        <v>543</v>
      </c>
      <c r="F57">
        <v>23.4415864864409</v>
      </c>
      <c r="G57">
        <v>21.0744641451117</v>
      </c>
      <c r="H57">
        <v>19.6287403265493</v>
      </c>
      <c r="I57">
        <v>19.890442198855</v>
      </c>
      <c r="J57">
        <v>20.5110268017752</v>
      </c>
      <c r="K57">
        <v>22.5377758626665</v>
      </c>
      <c r="L57">
        <v>22.5579315383145</v>
      </c>
      <c r="M57" t="s">
        <v>193</v>
      </c>
      <c r="N57" t="s">
        <v>193</v>
      </c>
      <c r="O57" t="s">
        <v>193</v>
      </c>
      <c r="P57" t="s">
        <v>193</v>
      </c>
    </row>
    <row r="58" spans="1:16" ht="12.75">
      <c r="A58" s="62" t="str">
        <f t="shared" si="0"/>
        <v>El Salvador_General government final consumption expenditure (% of GDP)</v>
      </c>
      <c r="B58" t="s">
        <v>469</v>
      </c>
      <c r="C58" t="s">
        <v>127</v>
      </c>
      <c r="D58" t="s">
        <v>540</v>
      </c>
      <c r="E58" t="s">
        <v>541</v>
      </c>
      <c r="F58">
        <v>9.34811305999756</v>
      </c>
      <c r="G58">
        <v>9.07479858398438</v>
      </c>
      <c r="H58">
        <v>9.74793815612793</v>
      </c>
      <c r="I58">
        <v>10.0199480056763</v>
      </c>
      <c r="J58">
        <v>10.17160987854</v>
      </c>
      <c r="K58">
        <v>10.4884996414185</v>
      </c>
      <c r="L58">
        <v>10.3196401596069</v>
      </c>
      <c r="M58">
        <v>9.92842292785645</v>
      </c>
      <c r="N58">
        <v>9.70003032684326</v>
      </c>
      <c r="O58">
        <v>9.62943363189697</v>
      </c>
      <c r="P58">
        <v>11.0902633666992</v>
      </c>
    </row>
    <row r="59" spans="1:16" ht="12.75">
      <c r="A59" s="62" t="str">
        <f t="shared" si="0"/>
        <v>El Salvador_Expense (% of GDP)</v>
      </c>
      <c r="B59" t="s">
        <v>469</v>
      </c>
      <c r="C59" t="s">
        <v>127</v>
      </c>
      <c r="D59" t="s">
        <v>542</v>
      </c>
      <c r="E59" t="s">
        <v>543</v>
      </c>
      <c r="F59" t="s">
        <v>193</v>
      </c>
      <c r="G59" t="s">
        <v>193</v>
      </c>
      <c r="H59" t="s">
        <v>193</v>
      </c>
      <c r="I59" t="s">
        <v>193</v>
      </c>
      <c r="J59" t="s">
        <v>193</v>
      </c>
      <c r="K59" t="s">
        <v>193</v>
      </c>
      <c r="L59">
        <v>17.900703505672</v>
      </c>
      <c r="M59">
        <v>15.2664703563886</v>
      </c>
      <c r="N59">
        <v>17.0178745737837</v>
      </c>
      <c r="O59">
        <v>17.7300576016586</v>
      </c>
      <c r="P59" t="s">
        <v>193</v>
      </c>
    </row>
    <row r="60" spans="1:16" ht="12.75">
      <c r="A60" s="62" t="str">
        <f t="shared" si="0"/>
        <v>Ethiopia_General government final consumption expenditure (% of GDP)</v>
      </c>
      <c r="B60" t="s">
        <v>470</v>
      </c>
      <c r="C60" t="s">
        <v>274</v>
      </c>
      <c r="D60" t="s">
        <v>540</v>
      </c>
      <c r="E60" t="s">
        <v>541</v>
      </c>
      <c r="F60">
        <v>8.30639457702637</v>
      </c>
      <c r="G60">
        <v>8.50867748260498</v>
      </c>
      <c r="H60">
        <v>11.9813613891602</v>
      </c>
      <c r="I60">
        <v>16.002965927124</v>
      </c>
      <c r="J60">
        <v>18.5128650665283</v>
      </c>
      <c r="K60">
        <v>15.1685266494751</v>
      </c>
      <c r="L60">
        <v>16.3772163391113</v>
      </c>
      <c r="M60">
        <v>19.0504722595215</v>
      </c>
      <c r="N60">
        <v>14.6941137313843</v>
      </c>
      <c r="O60">
        <v>13.7658367156982</v>
      </c>
      <c r="P60">
        <v>12.3702440261841</v>
      </c>
    </row>
    <row r="61" spans="1:16" ht="12.75">
      <c r="A61" s="62" t="str">
        <f t="shared" si="0"/>
        <v>Ethiopia_Expense (% of GDP)</v>
      </c>
      <c r="B61" t="s">
        <v>470</v>
      </c>
      <c r="C61" t="s">
        <v>274</v>
      </c>
      <c r="D61" t="s">
        <v>542</v>
      </c>
      <c r="E61" t="s">
        <v>543</v>
      </c>
      <c r="F61" t="s">
        <v>193</v>
      </c>
      <c r="G61" t="s">
        <v>193</v>
      </c>
      <c r="H61" t="s">
        <v>193</v>
      </c>
      <c r="I61" t="s">
        <v>193</v>
      </c>
      <c r="J61" t="s">
        <v>193</v>
      </c>
      <c r="K61" t="s">
        <v>193</v>
      </c>
      <c r="L61">
        <v>21.6771919433937</v>
      </c>
      <c r="M61" t="s">
        <v>193</v>
      </c>
      <c r="N61" t="s">
        <v>193</v>
      </c>
      <c r="O61" t="s">
        <v>193</v>
      </c>
      <c r="P61" t="s">
        <v>193</v>
      </c>
    </row>
    <row r="62" spans="1:16" ht="12.75">
      <c r="A62" s="62" t="str">
        <f t="shared" si="0"/>
        <v>Georgia_General government final consumption expenditure (% of GDP)</v>
      </c>
      <c r="B62" t="s">
        <v>471</v>
      </c>
      <c r="C62" t="s">
        <v>211</v>
      </c>
      <c r="D62" t="s">
        <v>540</v>
      </c>
      <c r="E62" t="s">
        <v>541</v>
      </c>
      <c r="F62">
        <v>7.69866609573364</v>
      </c>
      <c r="G62">
        <v>10.1696472167969</v>
      </c>
      <c r="H62">
        <v>11.0831270217896</v>
      </c>
      <c r="I62">
        <v>10.632884979248</v>
      </c>
      <c r="J62">
        <v>8.53881168365479</v>
      </c>
      <c r="K62">
        <v>9.64388942718506</v>
      </c>
      <c r="L62">
        <v>9.78915596008301</v>
      </c>
      <c r="M62">
        <v>9.1848611831665</v>
      </c>
      <c r="N62">
        <v>9.12024688720703</v>
      </c>
      <c r="O62">
        <v>8.76606273651123</v>
      </c>
      <c r="P62">
        <v>9.22790718078613</v>
      </c>
    </row>
    <row r="63" spans="1:16" ht="12.75">
      <c r="A63" s="62" t="str">
        <f t="shared" si="0"/>
        <v>Georgia_Expense (% of GDP)</v>
      </c>
      <c r="B63" t="s">
        <v>471</v>
      </c>
      <c r="C63" t="s">
        <v>211</v>
      </c>
      <c r="D63" t="s">
        <v>542</v>
      </c>
      <c r="E63" t="s">
        <v>543</v>
      </c>
      <c r="F63" t="s">
        <v>193</v>
      </c>
      <c r="G63">
        <v>15.3789525660044</v>
      </c>
      <c r="H63">
        <v>14.3565368484648</v>
      </c>
      <c r="I63">
        <v>14.4160136788734</v>
      </c>
      <c r="J63">
        <v>11.5570652668912</v>
      </c>
      <c r="K63">
        <v>10.8121093783863</v>
      </c>
      <c r="L63">
        <v>11.2620313741734</v>
      </c>
      <c r="M63">
        <v>10.6911497539509</v>
      </c>
      <c r="N63">
        <v>14.578143913111</v>
      </c>
      <c r="O63">
        <v>17.3195792299587</v>
      </c>
      <c r="P63" t="s">
        <v>193</v>
      </c>
    </row>
    <row r="64" spans="1:16" ht="12.75">
      <c r="A64" s="62" t="str">
        <f t="shared" si="0"/>
        <v>Grenada_General government final consumption expenditure (% of GDP)</v>
      </c>
      <c r="B64" t="s">
        <v>472</v>
      </c>
      <c r="C64" t="s">
        <v>246</v>
      </c>
      <c r="D64" t="s">
        <v>540</v>
      </c>
      <c r="E64" t="s">
        <v>541</v>
      </c>
      <c r="F64">
        <v>16.3784008026123</v>
      </c>
      <c r="G64">
        <v>16.7002696990967</v>
      </c>
      <c r="H64">
        <v>16.0999984741211</v>
      </c>
      <c r="I64">
        <v>14.3000011444092</v>
      </c>
      <c r="J64">
        <v>14.680082321167</v>
      </c>
      <c r="K64">
        <v>17.2863788604736</v>
      </c>
      <c r="L64">
        <v>17.8140697479248</v>
      </c>
      <c r="M64">
        <v>15.5447978973389</v>
      </c>
      <c r="N64">
        <v>18.448221206665</v>
      </c>
      <c r="O64" t="s">
        <v>193</v>
      </c>
      <c r="P64" t="s">
        <v>193</v>
      </c>
    </row>
    <row r="65" spans="1:16" ht="12.75">
      <c r="A65" s="62" t="str">
        <f t="shared" si="0"/>
        <v>Grenada_Expense (% of GDP)</v>
      </c>
      <c r="B65" t="s">
        <v>472</v>
      </c>
      <c r="C65" t="s">
        <v>246</v>
      </c>
      <c r="D65" t="s">
        <v>542</v>
      </c>
      <c r="E65" t="s">
        <v>543</v>
      </c>
      <c r="F65" t="s">
        <v>193</v>
      </c>
      <c r="G65" t="s">
        <v>193</v>
      </c>
      <c r="H65" t="s">
        <v>193</v>
      </c>
      <c r="I65" t="s">
        <v>193</v>
      </c>
      <c r="J65" t="s">
        <v>193</v>
      </c>
      <c r="K65" t="s">
        <v>193</v>
      </c>
      <c r="L65" t="s">
        <v>193</v>
      </c>
      <c r="M65" t="s">
        <v>193</v>
      </c>
      <c r="N65" t="s">
        <v>193</v>
      </c>
      <c r="O65" t="s">
        <v>193</v>
      </c>
      <c r="P65" t="s">
        <v>193</v>
      </c>
    </row>
    <row r="66" spans="1:16" ht="12.75">
      <c r="A66" s="62" t="str">
        <f aca="true" t="shared" si="1" ref="A66:A129">C66&amp;"_"&amp;E66</f>
        <v>Guatemala_General government final consumption expenditure (% of GDP)</v>
      </c>
      <c r="B66" t="s">
        <v>473</v>
      </c>
      <c r="C66" t="s">
        <v>247</v>
      </c>
      <c r="D66" t="s">
        <v>540</v>
      </c>
      <c r="E66" t="s">
        <v>541</v>
      </c>
      <c r="F66">
        <v>5.08030891418457</v>
      </c>
      <c r="G66">
        <v>4.99730157852173</v>
      </c>
      <c r="H66">
        <v>5.67746162414551</v>
      </c>
      <c r="I66">
        <v>6.32163619995117</v>
      </c>
      <c r="J66">
        <v>7.00261497497559</v>
      </c>
      <c r="K66">
        <v>7.53293085098267</v>
      </c>
      <c r="L66">
        <v>7.14563608169556</v>
      </c>
      <c r="M66">
        <v>7.26183938980103</v>
      </c>
      <c r="N66">
        <v>6.35346078872681</v>
      </c>
      <c r="O66">
        <v>5.92542934417725</v>
      </c>
      <c r="P66">
        <v>4.11939573287964</v>
      </c>
    </row>
    <row r="67" spans="1:16" ht="12.75">
      <c r="A67" s="62" t="str">
        <f t="shared" si="1"/>
        <v>Guatemala_Expense (% of GDP)</v>
      </c>
      <c r="B67" t="s">
        <v>473</v>
      </c>
      <c r="C67" t="s">
        <v>247</v>
      </c>
      <c r="D67" t="s">
        <v>542</v>
      </c>
      <c r="E67" t="s">
        <v>543</v>
      </c>
      <c r="F67">
        <v>7.99635062561041</v>
      </c>
      <c r="G67">
        <v>8.26735023989631</v>
      </c>
      <c r="H67">
        <v>9.41325741015091</v>
      </c>
      <c r="I67">
        <v>10.5182041891249</v>
      </c>
      <c r="J67">
        <v>10.9399952828158</v>
      </c>
      <c r="K67">
        <v>11.7549698857561</v>
      </c>
      <c r="L67">
        <v>11.4060989447083</v>
      </c>
      <c r="M67">
        <v>12.6359935695489</v>
      </c>
      <c r="N67">
        <v>11.1154603063024</v>
      </c>
      <c r="O67">
        <v>11.0352403573505</v>
      </c>
      <c r="P67" t="s">
        <v>193</v>
      </c>
    </row>
    <row r="68" spans="1:16" ht="12.75">
      <c r="A68" s="62" t="str">
        <f t="shared" si="1"/>
        <v>Guyana_General government final consumption expenditure (% of GDP)</v>
      </c>
      <c r="B68" t="s">
        <v>474</v>
      </c>
      <c r="C68" t="s">
        <v>248</v>
      </c>
      <c r="D68" t="s">
        <v>540</v>
      </c>
      <c r="E68" t="s">
        <v>541</v>
      </c>
      <c r="F68">
        <v>16.2135124206543</v>
      </c>
      <c r="G68">
        <v>17.5374507904053</v>
      </c>
      <c r="H68">
        <v>18.4374370574951</v>
      </c>
      <c r="I68">
        <v>18.9760246276855</v>
      </c>
      <c r="J68">
        <v>24.6721057891846</v>
      </c>
      <c r="K68">
        <v>25.6529273986816</v>
      </c>
      <c r="L68">
        <v>25.8582649230957</v>
      </c>
      <c r="M68">
        <v>28.0515422821045</v>
      </c>
      <c r="N68">
        <v>27.2449398040771</v>
      </c>
      <c r="O68">
        <v>31.1337013244629</v>
      </c>
      <c r="P68" t="s">
        <v>193</v>
      </c>
    </row>
    <row r="69" spans="1:16" ht="12.75">
      <c r="A69" s="62" t="str">
        <f t="shared" si="1"/>
        <v>Guyana_Expense (% of GDP)</v>
      </c>
      <c r="B69" t="s">
        <v>474</v>
      </c>
      <c r="C69" t="s">
        <v>248</v>
      </c>
      <c r="D69" t="s">
        <v>542</v>
      </c>
      <c r="E69" t="s">
        <v>543</v>
      </c>
      <c r="F69" t="s">
        <v>193</v>
      </c>
      <c r="G69" t="s">
        <v>193</v>
      </c>
      <c r="H69" t="s">
        <v>193</v>
      </c>
      <c r="I69" t="s">
        <v>193</v>
      </c>
      <c r="J69" t="s">
        <v>193</v>
      </c>
      <c r="K69" t="s">
        <v>193</v>
      </c>
      <c r="L69" t="s">
        <v>193</v>
      </c>
      <c r="M69" t="s">
        <v>193</v>
      </c>
      <c r="N69" t="s">
        <v>193</v>
      </c>
      <c r="O69" t="s">
        <v>193</v>
      </c>
      <c r="P69" t="s">
        <v>193</v>
      </c>
    </row>
    <row r="70" spans="1:16" ht="12.75">
      <c r="A70" s="62" t="str">
        <f t="shared" si="1"/>
        <v>Honduras_General government final consumption expenditure (% of GDP)</v>
      </c>
      <c r="B70" t="s">
        <v>475</v>
      </c>
      <c r="C70" t="s">
        <v>249</v>
      </c>
      <c r="D70" t="s">
        <v>540</v>
      </c>
      <c r="E70" t="s">
        <v>541</v>
      </c>
      <c r="F70">
        <v>9.53876399993896</v>
      </c>
      <c r="G70">
        <v>8.84199523925781</v>
      </c>
      <c r="H70">
        <v>10.1039209365845</v>
      </c>
      <c r="I70">
        <v>11.3183565139771</v>
      </c>
      <c r="J70">
        <v>12.5479583740234</v>
      </c>
      <c r="K70">
        <v>13.9268112182617</v>
      </c>
      <c r="L70">
        <v>13.8037233352661</v>
      </c>
      <c r="M70">
        <v>13.4553604125977</v>
      </c>
      <c r="N70">
        <v>13.2072305679321</v>
      </c>
      <c r="O70">
        <v>13.6902647018433</v>
      </c>
      <c r="P70">
        <v>18.036584854126</v>
      </c>
    </row>
    <row r="71" spans="1:16" ht="12.75">
      <c r="A71" s="62" t="str">
        <f t="shared" si="1"/>
        <v>Honduras_Expense (% of GDP)</v>
      </c>
      <c r="B71" t="s">
        <v>475</v>
      </c>
      <c r="C71" t="s">
        <v>249</v>
      </c>
      <c r="D71" t="s">
        <v>542</v>
      </c>
      <c r="E71" t="s">
        <v>543</v>
      </c>
      <c r="F71" t="s">
        <v>193</v>
      </c>
      <c r="G71" t="s">
        <v>193</v>
      </c>
      <c r="H71" t="s">
        <v>193</v>
      </c>
      <c r="I71" t="s">
        <v>193</v>
      </c>
      <c r="J71" t="s">
        <v>193</v>
      </c>
      <c r="K71" t="s">
        <v>193</v>
      </c>
      <c r="L71" t="s">
        <v>193</v>
      </c>
      <c r="M71" t="s">
        <v>193</v>
      </c>
      <c r="N71" t="s">
        <v>193</v>
      </c>
      <c r="O71" t="s">
        <v>193</v>
      </c>
      <c r="P71" t="s">
        <v>193</v>
      </c>
    </row>
    <row r="72" spans="1:16" ht="12.75">
      <c r="A72" s="62" t="str">
        <f t="shared" si="1"/>
        <v>Hungary_General government final consumption expenditure (% of GDP)</v>
      </c>
      <c r="B72" t="s">
        <v>476</v>
      </c>
      <c r="C72" t="s">
        <v>212</v>
      </c>
      <c r="D72" t="s">
        <v>540</v>
      </c>
      <c r="E72" t="s">
        <v>541</v>
      </c>
      <c r="F72">
        <v>10.2063493728638</v>
      </c>
      <c r="G72">
        <v>10.5471477508545</v>
      </c>
      <c r="H72">
        <v>10.1569833755493</v>
      </c>
      <c r="I72">
        <v>10.1525087356567</v>
      </c>
      <c r="J72">
        <v>10.0836486816406</v>
      </c>
      <c r="K72">
        <v>10.2207555770874</v>
      </c>
      <c r="L72">
        <v>10.4215955734253</v>
      </c>
      <c r="M72">
        <v>10.5536108016968</v>
      </c>
      <c r="N72">
        <v>10.0554265975952</v>
      </c>
      <c r="O72">
        <v>9.94676780700684</v>
      </c>
      <c r="P72">
        <v>9.66518306732178</v>
      </c>
    </row>
    <row r="73" spans="1:16" ht="12.75">
      <c r="A73" s="62" t="str">
        <f t="shared" si="1"/>
        <v>Hungary_Expense (% of GDP)</v>
      </c>
      <c r="B73" t="s">
        <v>476</v>
      </c>
      <c r="C73" t="s">
        <v>212</v>
      </c>
      <c r="D73" t="s">
        <v>542</v>
      </c>
      <c r="E73" t="s">
        <v>543</v>
      </c>
      <c r="F73" t="s">
        <v>193</v>
      </c>
      <c r="G73" t="s">
        <v>193</v>
      </c>
      <c r="H73" t="s">
        <v>193</v>
      </c>
      <c r="I73" t="s">
        <v>193</v>
      </c>
      <c r="J73">
        <v>39.2192552974411</v>
      </c>
      <c r="K73">
        <v>39.0747134650561</v>
      </c>
      <c r="L73">
        <v>41.6292381164368</v>
      </c>
      <c r="M73">
        <v>41.0044705085787</v>
      </c>
      <c r="N73">
        <v>42.2753480308669</v>
      </c>
      <c r="O73">
        <v>42.5339940572016</v>
      </c>
      <c r="P73" t="s">
        <v>193</v>
      </c>
    </row>
    <row r="74" spans="1:16" ht="12.75">
      <c r="A74" s="62" t="str">
        <f t="shared" si="1"/>
        <v>India_General government final consumption expenditure (% of GDP)</v>
      </c>
      <c r="B74" t="s">
        <v>477</v>
      </c>
      <c r="C74" t="s">
        <v>109</v>
      </c>
      <c r="D74" t="s">
        <v>540</v>
      </c>
      <c r="E74" t="s">
        <v>541</v>
      </c>
      <c r="F74">
        <v>10.6507930755615</v>
      </c>
      <c r="G74">
        <v>11.3092727661133</v>
      </c>
      <c r="H74">
        <v>12.2937879562378</v>
      </c>
      <c r="I74">
        <v>12.9477186203003</v>
      </c>
      <c r="J74">
        <v>12.6238660812378</v>
      </c>
      <c r="K74">
        <v>12.3680763244629</v>
      </c>
      <c r="L74">
        <v>11.8515071868896</v>
      </c>
      <c r="M74">
        <v>11.2325439453125</v>
      </c>
      <c r="N74">
        <v>10.9557485580444</v>
      </c>
      <c r="O74">
        <v>11.339807510376</v>
      </c>
      <c r="P74" t="s">
        <v>193</v>
      </c>
    </row>
    <row r="75" spans="1:16" ht="12.75">
      <c r="A75" s="62" t="str">
        <f t="shared" si="1"/>
        <v>India_Expense (% of GDP)</v>
      </c>
      <c r="B75" t="s">
        <v>477</v>
      </c>
      <c r="C75" t="s">
        <v>109</v>
      </c>
      <c r="D75" t="s">
        <v>542</v>
      </c>
      <c r="E75" t="s">
        <v>543</v>
      </c>
      <c r="F75">
        <v>14.3545429043185</v>
      </c>
      <c r="G75">
        <v>14.8155685998223</v>
      </c>
      <c r="H75">
        <v>14.6667545605209</v>
      </c>
      <c r="I75">
        <v>15.0787771219621</v>
      </c>
      <c r="J75">
        <v>15.6853561679491</v>
      </c>
      <c r="K75">
        <v>15.778599438087</v>
      </c>
      <c r="L75">
        <v>16.2784508709949</v>
      </c>
      <c r="M75">
        <v>15.7847915576551</v>
      </c>
      <c r="N75">
        <v>15.7634687680509</v>
      </c>
      <c r="O75" t="s">
        <v>193</v>
      </c>
      <c r="P75" t="s">
        <v>193</v>
      </c>
    </row>
    <row r="76" spans="1:16" ht="12.75">
      <c r="A76" s="62" t="str">
        <f t="shared" si="1"/>
        <v>Indonesia_General government final consumption expenditure (% of GDP)</v>
      </c>
      <c r="B76" t="s">
        <v>478</v>
      </c>
      <c r="C76" t="s">
        <v>227</v>
      </c>
      <c r="D76" t="s">
        <v>540</v>
      </c>
      <c r="E76" t="s">
        <v>541</v>
      </c>
      <c r="F76">
        <v>7.56695890426636</v>
      </c>
      <c r="G76">
        <v>6.84280967712402</v>
      </c>
      <c r="H76">
        <v>5.69350814819336</v>
      </c>
      <c r="I76">
        <v>6.60445690155029</v>
      </c>
      <c r="J76">
        <v>6.53199481964111</v>
      </c>
      <c r="K76">
        <v>6.88905954360962</v>
      </c>
      <c r="L76">
        <v>7.25745820999146</v>
      </c>
      <c r="M76">
        <v>8.12948608398438</v>
      </c>
      <c r="N76">
        <v>8.32187080383301</v>
      </c>
      <c r="O76">
        <v>8.07841300964355</v>
      </c>
      <c r="P76">
        <v>7.11333847045898</v>
      </c>
    </row>
    <row r="77" spans="1:16" ht="12.75">
      <c r="A77" s="62" t="str">
        <f t="shared" si="1"/>
        <v>Indonesia_Expense (% of GDP)</v>
      </c>
      <c r="B77" t="s">
        <v>478</v>
      </c>
      <c r="C77" t="s">
        <v>227</v>
      </c>
      <c r="D77" t="s">
        <v>542</v>
      </c>
      <c r="E77" t="s">
        <v>543</v>
      </c>
      <c r="F77">
        <v>10.3628082794238</v>
      </c>
      <c r="G77">
        <v>13.7957842468007</v>
      </c>
      <c r="H77">
        <v>13.4296656706275</v>
      </c>
      <c r="I77">
        <v>16.3291659768485</v>
      </c>
      <c r="J77" t="s">
        <v>193</v>
      </c>
      <c r="K77" t="s">
        <v>193</v>
      </c>
      <c r="L77">
        <v>15.7134451020826</v>
      </c>
      <c r="M77">
        <v>16.257927717297</v>
      </c>
      <c r="N77">
        <v>16.8539366855623</v>
      </c>
      <c r="O77" t="s">
        <v>193</v>
      </c>
      <c r="P77" t="s">
        <v>193</v>
      </c>
    </row>
    <row r="78" spans="1:16" ht="12.75">
      <c r="A78" s="62" t="str">
        <f t="shared" si="1"/>
        <v>Iran, Islamic Rep._General government final consumption expenditure (% of GDP)</v>
      </c>
      <c r="B78" t="s">
        <v>479</v>
      </c>
      <c r="C78" t="s">
        <v>480</v>
      </c>
      <c r="D78" t="s">
        <v>540</v>
      </c>
      <c r="E78" t="s">
        <v>541</v>
      </c>
      <c r="F78">
        <v>14.162992477417</v>
      </c>
      <c r="G78">
        <v>13.0541849136353</v>
      </c>
      <c r="H78">
        <v>14.2910175323486</v>
      </c>
      <c r="I78">
        <v>12.8250780105591</v>
      </c>
      <c r="J78">
        <v>13.8773031234741</v>
      </c>
      <c r="K78">
        <v>13.9979104995728</v>
      </c>
      <c r="L78">
        <v>12.8382034301758</v>
      </c>
      <c r="M78">
        <v>12.1243906021118</v>
      </c>
      <c r="N78">
        <v>11.3950462341309</v>
      </c>
      <c r="O78">
        <v>12.1651954650879</v>
      </c>
      <c r="P78" t="s">
        <v>193</v>
      </c>
    </row>
    <row r="79" spans="1:16" ht="12.75">
      <c r="A79" s="62" t="str">
        <f t="shared" si="1"/>
        <v>Iran, Islamic Rep._Expense (% of GDP)</v>
      </c>
      <c r="B79" t="s">
        <v>479</v>
      </c>
      <c r="C79" t="s">
        <v>480</v>
      </c>
      <c r="D79" t="s">
        <v>542</v>
      </c>
      <c r="E79" t="s">
        <v>543</v>
      </c>
      <c r="F79">
        <v>16.9983287443689</v>
      </c>
      <c r="G79">
        <v>17.2247436855775</v>
      </c>
      <c r="H79">
        <v>19.5154548689723</v>
      </c>
      <c r="I79">
        <v>18.0371371721417</v>
      </c>
      <c r="J79">
        <v>16.869010630231</v>
      </c>
      <c r="K79">
        <v>19.2852408357106</v>
      </c>
      <c r="L79">
        <v>19.319206148443</v>
      </c>
      <c r="M79">
        <v>19.4758062295849</v>
      </c>
      <c r="N79">
        <v>19.3888573786443</v>
      </c>
      <c r="O79">
        <v>20.5414619959092</v>
      </c>
      <c r="P79">
        <v>21.5873493491288</v>
      </c>
    </row>
    <row r="80" spans="1:16" ht="12.75">
      <c r="A80" s="62" t="str">
        <f t="shared" si="1"/>
        <v>Iraq_General government final consumption expenditure (% of GDP)</v>
      </c>
      <c r="B80" t="s">
        <v>481</v>
      </c>
      <c r="C80" t="s">
        <v>98</v>
      </c>
      <c r="D80" t="s">
        <v>540</v>
      </c>
      <c r="E80" t="s">
        <v>541</v>
      </c>
      <c r="F80" t="s">
        <v>193</v>
      </c>
      <c r="G80" t="s">
        <v>193</v>
      </c>
      <c r="H80" t="s">
        <v>193</v>
      </c>
      <c r="I80" t="s">
        <v>193</v>
      </c>
      <c r="J80" t="s">
        <v>193</v>
      </c>
      <c r="K80" t="s">
        <v>193</v>
      </c>
      <c r="L80" t="s">
        <v>193</v>
      </c>
      <c r="M80" t="s">
        <v>193</v>
      </c>
      <c r="N80" t="s">
        <v>193</v>
      </c>
      <c r="O80" t="s">
        <v>193</v>
      </c>
      <c r="P80" t="s">
        <v>193</v>
      </c>
    </row>
    <row r="81" spans="1:16" ht="12.75">
      <c r="A81" s="62" t="str">
        <f t="shared" si="1"/>
        <v>Iraq_Expense (% of GDP)</v>
      </c>
      <c r="B81" t="s">
        <v>481</v>
      </c>
      <c r="C81" t="s">
        <v>98</v>
      </c>
      <c r="D81" t="s">
        <v>542</v>
      </c>
      <c r="E81" t="s">
        <v>543</v>
      </c>
      <c r="F81" t="s">
        <v>193</v>
      </c>
      <c r="G81" t="s">
        <v>193</v>
      </c>
      <c r="H81" t="s">
        <v>193</v>
      </c>
      <c r="I81" t="s">
        <v>193</v>
      </c>
      <c r="J81" t="s">
        <v>193</v>
      </c>
      <c r="K81" t="s">
        <v>193</v>
      </c>
      <c r="L81" t="s">
        <v>193</v>
      </c>
      <c r="M81" t="s">
        <v>193</v>
      </c>
      <c r="N81" t="s">
        <v>193</v>
      </c>
      <c r="O81" t="s">
        <v>193</v>
      </c>
      <c r="P81" t="s">
        <v>193</v>
      </c>
    </row>
    <row r="82" spans="1:16" ht="12.75">
      <c r="A82" s="62" t="str">
        <f t="shared" si="1"/>
        <v>Jamaica_General government final consumption expenditure (% of GDP)</v>
      </c>
      <c r="B82" t="s">
        <v>482</v>
      </c>
      <c r="C82" t="s">
        <v>250</v>
      </c>
      <c r="D82" t="s">
        <v>540</v>
      </c>
      <c r="E82" t="s">
        <v>541</v>
      </c>
      <c r="F82">
        <v>13.4037799835205</v>
      </c>
      <c r="G82">
        <v>15.2081737518311</v>
      </c>
      <c r="H82">
        <v>16.4826774597168</v>
      </c>
      <c r="I82">
        <v>15.3539628982544</v>
      </c>
      <c r="J82">
        <v>15.6509475708008</v>
      </c>
      <c r="K82">
        <v>15.3362855911255</v>
      </c>
      <c r="L82">
        <v>15.8052759170532</v>
      </c>
      <c r="M82">
        <v>15.2330293655396</v>
      </c>
      <c r="N82">
        <v>14.2526359558105</v>
      </c>
      <c r="O82">
        <v>15.1161613464355</v>
      </c>
      <c r="P82">
        <v>16.854097366333</v>
      </c>
    </row>
    <row r="83" spans="1:16" ht="12.75">
      <c r="A83" s="62" t="str">
        <f t="shared" si="1"/>
        <v>Jamaica_Expense (% of GDP)</v>
      </c>
      <c r="B83" t="s">
        <v>482</v>
      </c>
      <c r="C83" t="s">
        <v>250</v>
      </c>
      <c r="D83" t="s">
        <v>542</v>
      </c>
      <c r="E83" t="s">
        <v>543</v>
      </c>
      <c r="F83">
        <v>39.3941030336458</v>
      </c>
      <c r="G83">
        <v>33.5782915269577</v>
      </c>
      <c r="H83">
        <v>34.3840707962024</v>
      </c>
      <c r="I83">
        <v>35.8234531412876</v>
      </c>
      <c r="J83">
        <v>35.3657052587141</v>
      </c>
      <c r="K83">
        <v>35.0243887675937</v>
      </c>
      <c r="L83">
        <v>38.0370257970524</v>
      </c>
      <c r="M83">
        <v>39.0605474268734</v>
      </c>
      <c r="N83">
        <v>37.9282966726207</v>
      </c>
      <c r="O83">
        <v>33.8026917849508</v>
      </c>
      <c r="P83" t="s">
        <v>193</v>
      </c>
    </row>
    <row r="84" spans="1:16" ht="12.75">
      <c r="A84" s="62" t="str">
        <f t="shared" si="1"/>
        <v>Jordan_General government final consumption expenditure (% of GDP)</v>
      </c>
      <c r="B84" t="s">
        <v>483</v>
      </c>
      <c r="C84" t="s">
        <v>199</v>
      </c>
      <c r="D84" t="s">
        <v>540</v>
      </c>
      <c r="E84" t="s">
        <v>541</v>
      </c>
      <c r="F84">
        <v>17.3017978668213</v>
      </c>
      <c r="G84">
        <v>17.4596939086914</v>
      </c>
      <c r="H84">
        <v>17.602933883667</v>
      </c>
      <c r="I84">
        <v>16.8457565307617</v>
      </c>
      <c r="J84">
        <v>16.9510726928711</v>
      </c>
      <c r="K84">
        <v>16.6253814697266</v>
      </c>
      <c r="L84">
        <v>16.2938861846924</v>
      </c>
      <c r="M84">
        <v>17.2838268280029</v>
      </c>
      <c r="N84">
        <v>16.1921234130859</v>
      </c>
      <c r="O84">
        <v>15.2531795501709</v>
      </c>
      <c r="P84">
        <v>15.7460718154907</v>
      </c>
    </row>
    <row r="85" spans="1:16" ht="12.75">
      <c r="A85" s="62" t="str">
        <f t="shared" si="1"/>
        <v>Jordan_Expense (% of GDP)</v>
      </c>
      <c r="B85" t="s">
        <v>483</v>
      </c>
      <c r="C85" t="s">
        <v>199</v>
      </c>
      <c r="D85" t="s">
        <v>542</v>
      </c>
      <c r="E85" t="s">
        <v>543</v>
      </c>
      <c r="F85">
        <v>28.8043682047806</v>
      </c>
      <c r="G85">
        <v>28.4186193328225</v>
      </c>
      <c r="H85">
        <v>28.5163948230494</v>
      </c>
      <c r="I85">
        <v>26.7733813850945</v>
      </c>
      <c r="J85">
        <v>27.1203826078228</v>
      </c>
      <c r="K85">
        <v>26.9876434693002</v>
      </c>
      <c r="L85">
        <v>28.3369369737349</v>
      </c>
      <c r="M85">
        <v>29.4659207470344</v>
      </c>
      <c r="N85">
        <v>32.1768513164198</v>
      </c>
      <c r="O85">
        <v>35.3041131860281</v>
      </c>
      <c r="P85" t="s">
        <v>193</v>
      </c>
    </row>
    <row r="86" spans="1:16" ht="12.75">
      <c r="A86" s="62" t="str">
        <f t="shared" si="1"/>
        <v>Kazakhstan_General government final consumption expenditure (% of GDP)</v>
      </c>
      <c r="B86" t="s">
        <v>484</v>
      </c>
      <c r="C86" t="s">
        <v>213</v>
      </c>
      <c r="D86" t="s">
        <v>540</v>
      </c>
      <c r="E86" t="s">
        <v>541</v>
      </c>
      <c r="F86">
        <v>12.9111452102661</v>
      </c>
      <c r="G86">
        <v>12.3806734085083</v>
      </c>
      <c r="H86">
        <v>10.7813901901245</v>
      </c>
      <c r="I86">
        <v>11.5406913757324</v>
      </c>
      <c r="J86">
        <v>12.0767841339111</v>
      </c>
      <c r="K86">
        <v>13.4140558242798</v>
      </c>
      <c r="L86">
        <v>11.609504699707</v>
      </c>
      <c r="M86">
        <v>11.25754737854</v>
      </c>
      <c r="N86">
        <v>11.6145029067993</v>
      </c>
      <c r="O86">
        <v>11.2231254577637</v>
      </c>
      <c r="P86">
        <v>12.6999998092651</v>
      </c>
    </row>
    <row r="87" spans="1:16" ht="12.75">
      <c r="A87" s="62" t="str">
        <f t="shared" si="1"/>
        <v>Kazakhstan_Expense (% of GDP)</v>
      </c>
      <c r="B87" t="s">
        <v>484</v>
      </c>
      <c r="C87" t="s">
        <v>213</v>
      </c>
      <c r="D87" t="s">
        <v>542</v>
      </c>
      <c r="E87" t="s">
        <v>543</v>
      </c>
      <c r="F87" t="s">
        <v>193</v>
      </c>
      <c r="G87">
        <v>18.7424215455046</v>
      </c>
      <c r="H87">
        <v>16.6472092377335</v>
      </c>
      <c r="I87">
        <v>14.1823055537242</v>
      </c>
      <c r="J87">
        <v>13.7215824588526</v>
      </c>
      <c r="K87">
        <v>13.5682164936774</v>
      </c>
      <c r="L87">
        <v>12.6910977036824</v>
      </c>
      <c r="M87">
        <v>13.8872214949177</v>
      </c>
      <c r="N87">
        <v>14.0707423136397</v>
      </c>
      <c r="O87">
        <v>18.2410111562315</v>
      </c>
      <c r="P87" t="s">
        <v>193</v>
      </c>
    </row>
    <row r="88" spans="1:16" ht="12.75">
      <c r="A88" s="62" t="str">
        <f t="shared" si="1"/>
        <v>Korea, Dem. Rep._General government final consumption expenditure (% of GDP)</v>
      </c>
      <c r="B88" t="s">
        <v>485</v>
      </c>
      <c r="C88" t="s">
        <v>486</v>
      </c>
      <c r="D88" t="s">
        <v>540</v>
      </c>
      <c r="E88" t="s">
        <v>541</v>
      </c>
      <c r="F88" t="s">
        <v>193</v>
      </c>
      <c r="G88" t="s">
        <v>193</v>
      </c>
      <c r="H88" t="s">
        <v>193</v>
      </c>
      <c r="I88" t="s">
        <v>193</v>
      </c>
      <c r="J88" t="s">
        <v>193</v>
      </c>
      <c r="K88" t="s">
        <v>193</v>
      </c>
      <c r="L88" t="s">
        <v>193</v>
      </c>
      <c r="M88" t="s">
        <v>193</v>
      </c>
      <c r="N88" t="s">
        <v>193</v>
      </c>
      <c r="O88" t="s">
        <v>193</v>
      </c>
      <c r="P88" t="s">
        <v>193</v>
      </c>
    </row>
    <row r="89" spans="1:16" ht="12.75">
      <c r="A89" s="62" t="str">
        <f t="shared" si="1"/>
        <v>Korea, Dem. Rep._Expense (% of GDP)</v>
      </c>
      <c r="B89" t="s">
        <v>485</v>
      </c>
      <c r="C89" t="s">
        <v>486</v>
      </c>
      <c r="D89" t="s">
        <v>542</v>
      </c>
      <c r="E89" t="s">
        <v>543</v>
      </c>
      <c r="F89" t="s">
        <v>193</v>
      </c>
      <c r="G89" t="s">
        <v>193</v>
      </c>
      <c r="H89" t="s">
        <v>193</v>
      </c>
      <c r="I89" t="s">
        <v>193</v>
      </c>
      <c r="J89" t="s">
        <v>193</v>
      </c>
      <c r="K89" t="s">
        <v>193</v>
      </c>
      <c r="L89" t="s">
        <v>193</v>
      </c>
      <c r="M89" t="s">
        <v>193</v>
      </c>
      <c r="N89" t="s">
        <v>193</v>
      </c>
      <c r="O89" t="s">
        <v>193</v>
      </c>
      <c r="P89" t="s">
        <v>193</v>
      </c>
    </row>
    <row r="90" spans="1:16" ht="12.75">
      <c r="A90" s="62" t="str">
        <f t="shared" si="1"/>
        <v>Korea, Rep._General government final consumption expenditure (% of GDP)</v>
      </c>
      <c r="B90" t="s">
        <v>487</v>
      </c>
      <c r="C90" t="s">
        <v>488</v>
      </c>
      <c r="D90" t="s">
        <v>540</v>
      </c>
      <c r="E90" t="s">
        <v>541</v>
      </c>
      <c r="F90">
        <v>11.6225748062134</v>
      </c>
      <c r="G90">
        <v>11.554612159729</v>
      </c>
      <c r="H90">
        <v>12.8031892776489</v>
      </c>
      <c r="I90">
        <v>12.3085336685181</v>
      </c>
      <c r="J90">
        <v>12.1137094497681</v>
      </c>
      <c r="K90">
        <v>12.9071407318115</v>
      </c>
      <c r="L90">
        <v>12.9354190826416</v>
      </c>
      <c r="M90">
        <v>13.2753582000732</v>
      </c>
      <c r="N90">
        <v>13.5385694503784</v>
      </c>
      <c r="O90">
        <v>14.1685276031494</v>
      </c>
      <c r="P90">
        <v>14.8048543930054</v>
      </c>
    </row>
    <row r="91" spans="1:16" ht="12.75">
      <c r="A91" s="62" t="str">
        <f t="shared" si="1"/>
        <v>Korea, Rep._Expense (% of GDP)</v>
      </c>
      <c r="B91" t="s">
        <v>487</v>
      </c>
      <c r="C91" t="s">
        <v>488</v>
      </c>
      <c r="D91" t="s">
        <v>542</v>
      </c>
      <c r="E91" t="s">
        <v>543</v>
      </c>
      <c r="F91">
        <v>14.4980976718542</v>
      </c>
      <c r="G91">
        <v>14.40277237186</v>
      </c>
      <c r="H91">
        <v>16.9503372786823</v>
      </c>
      <c r="I91">
        <v>16.5829760538878</v>
      </c>
      <c r="J91">
        <v>17.3317318459104</v>
      </c>
      <c r="K91">
        <v>18.5593692666201</v>
      </c>
      <c r="L91">
        <v>17.7066946989083</v>
      </c>
      <c r="M91">
        <v>19.9915240405755</v>
      </c>
      <c r="N91">
        <v>20.0118438828326</v>
      </c>
      <c r="O91">
        <v>21.2766872618578</v>
      </c>
      <c r="P91" t="s">
        <v>193</v>
      </c>
    </row>
    <row r="92" spans="1:16" ht="12.75">
      <c r="A92" s="62" t="str">
        <f t="shared" si="1"/>
        <v>Kuwait_General government final consumption expenditure (% of GDP)</v>
      </c>
      <c r="B92" t="s">
        <v>489</v>
      </c>
      <c r="C92" t="s">
        <v>200</v>
      </c>
      <c r="D92" t="s">
        <v>540</v>
      </c>
      <c r="E92" t="s">
        <v>541</v>
      </c>
      <c r="F92">
        <v>27.2660751342773</v>
      </c>
      <c r="G92">
        <v>26.6224956512451</v>
      </c>
      <c r="H92">
        <v>30.5042304992676</v>
      </c>
      <c r="I92">
        <v>26.8619613647461</v>
      </c>
      <c r="J92">
        <v>21.4779605865479</v>
      </c>
      <c r="K92">
        <v>23.6333045959473</v>
      </c>
      <c r="L92">
        <v>25.2826919555664</v>
      </c>
      <c r="M92">
        <v>23.0181007385254</v>
      </c>
      <c r="N92">
        <v>19.9129734039307</v>
      </c>
      <c r="O92">
        <v>15.4188566207886</v>
      </c>
      <c r="P92" t="s">
        <v>193</v>
      </c>
    </row>
    <row r="93" spans="1:16" ht="12.75">
      <c r="A93" s="62" t="str">
        <f t="shared" si="1"/>
        <v>Kuwait_Expense (% of GDP)</v>
      </c>
      <c r="B93" t="s">
        <v>489</v>
      </c>
      <c r="C93" t="s">
        <v>200</v>
      </c>
      <c r="D93" t="s">
        <v>542</v>
      </c>
      <c r="E93" t="s">
        <v>543</v>
      </c>
      <c r="F93" t="s">
        <v>193</v>
      </c>
      <c r="G93" t="s">
        <v>193</v>
      </c>
      <c r="H93" t="s">
        <v>193</v>
      </c>
      <c r="I93" t="s">
        <v>193</v>
      </c>
      <c r="J93" t="s">
        <v>193</v>
      </c>
      <c r="K93" t="s">
        <v>193</v>
      </c>
      <c r="L93">
        <v>40.1812673283377</v>
      </c>
      <c r="M93">
        <v>33.67475766028</v>
      </c>
      <c r="N93">
        <v>30.8656830272551</v>
      </c>
      <c r="O93">
        <v>26.1955234316625</v>
      </c>
      <c r="P93" t="s">
        <v>193</v>
      </c>
    </row>
    <row r="94" spans="1:16" ht="12.75">
      <c r="A94" s="62" t="str">
        <f t="shared" si="1"/>
        <v>Kyrgyz Republic_General government final consumption expenditure (% of GDP)</v>
      </c>
      <c r="B94" t="s">
        <v>490</v>
      </c>
      <c r="C94" t="s">
        <v>215</v>
      </c>
      <c r="D94" t="s">
        <v>540</v>
      </c>
      <c r="E94" t="s">
        <v>541</v>
      </c>
      <c r="F94">
        <v>18.5180759429932</v>
      </c>
      <c r="G94">
        <v>17.2956790924072</v>
      </c>
      <c r="H94">
        <v>17.8547401428223</v>
      </c>
      <c r="I94">
        <v>19.1204986572266</v>
      </c>
      <c r="J94">
        <v>20.0413341522217</v>
      </c>
      <c r="K94">
        <v>17.4758033752441</v>
      </c>
      <c r="L94">
        <v>18.619234085083</v>
      </c>
      <c r="M94">
        <v>16.8309650421143</v>
      </c>
      <c r="N94">
        <v>18.1726207733154</v>
      </c>
      <c r="O94">
        <v>17.5098514556885</v>
      </c>
      <c r="P94">
        <v>18.9494018554688</v>
      </c>
    </row>
    <row r="95" spans="1:16" ht="12.75">
      <c r="A95" s="62" t="str">
        <f t="shared" si="1"/>
        <v>Kyrgyz Republic_Expense (% of GDP)</v>
      </c>
      <c r="B95" t="s">
        <v>490</v>
      </c>
      <c r="C95" t="s">
        <v>215</v>
      </c>
      <c r="D95" t="s">
        <v>542</v>
      </c>
      <c r="E95" t="s">
        <v>543</v>
      </c>
      <c r="F95">
        <v>20.8459235680134</v>
      </c>
      <c r="G95">
        <v>20.877151181032</v>
      </c>
      <c r="H95">
        <v>20.2677476149537</v>
      </c>
      <c r="I95">
        <v>17.7332514685856</v>
      </c>
      <c r="J95">
        <v>15.8025219222244</v>
      </c>
      <c r="K95">
        <v>15.7591761327916</v>
      </c>
      <c r="L95" t="s">
        <v>193</v>
      </c>
      <c r="M95" t="s">
        <v>193</v>
      </c>
      <c r="N95" t="s">
        <v>193</v>
      </c>
      <c r="O95" t="s">
        <v>193</v>
      </c>
      <c r="P95" t="s">
        <v>193</v>
      </c>
    </row>
    <row r="96" spans="1:16" ht="12.75">
      <c r="A96" s="62" t="str">
        <f t="shared" si="1"/>
        <v>Latvia_General government final consumption expenditure (% of GDP)</v>
      </c>
      <c r="B96" t="s">
        <v>491</v>
      </c>
      <c r="C96" t="s">
        <v>216</v>
      </c>
      <c r="D96" t="s">
        <v>540</v>
      </c>
      <c r="E96" t="s">
        <v>541</v>
      </c>
      <c r="F96">
        <v>21.6117820739746</v>
      </c>
      <c r="G96">
        <v>20.8453788757324</v>
      </c>
      <c r="H96">
        <v>23.5030364990234</v>
      </c>
      <c r="I96">
        <v>22.6517963409424</v>
      </c>
      <c r="J96">
        <v>20.7966899871826</v>
      </c>
      <c r="K96">
        <v>20.465892791748</v>
      </c>
      <c r="L96">
        <v>20.9713764190674</v>
      </c>
      <c r="M96">
        <v>21.4492034912109</v>
      </c>
      <c r="N96">
        <v>19.5199279785156</v>
      </c>
      <c r="O96">
        <v>17.4498825073242</v>
      </c>
      <c r="P96">
        <v>16.9059162139893</v>
      </c>
    </row>
    <row r="97" spans="1:16" ht="12.75">
      <c r="A97" s="62" t="str">
        <f t="shared" si="1"/>
        <v>Latvia_Expense (% of GDP)</v>
      </c>
      <c r="B97" t="s">
        <v>491</v>
      </c>
      <c r="C97" t="s">
        <v>216</v>
      </c>
      <c r="D97" t="s">
        <v>542</v>
      </c>
      <c r="E97" t="s">
        <v>543</v>
      </c>
      <c r="F97">
        <v>27.8843331891369</v>
      </c>
      <c r="G97">
        <v>28.2101661294803</v>
      </c>
      <c r="H97">
        <v>31.2844297832642</v>
      </c>
      <c r="I97">
        <v>31.5725375614369</v>
      </c>
      <c r="J97">
        <v>28.1167890960273</v>
      </c>
      <c r="K97">
        <v>26.3066140679982</v>
      </c>
      <c r="L97">
        <v>27.7356684663603</v>
      </c>
      <c r="M97">
        <v>27.1509496315643</v>
      </c>
      <c r="N97">
        <v>27.763975613512</v>
      </c>
      <c r="O97">
        <v>29.0172717795714</v>
      </c>
      <c r="P97" t="s">
        <v>193</v>
      </c>
    </row>
    <row r="98" spans="1:16" ht="12.75">
      <c r="A98" s="62" t="str">
        <f t="shared" si="1"/>
        <v>Lebanon_General government final consumption expenditure (% of GDP)</v>
      </c>
      <c r="B98" t="s">
        <v>492</v>
      </c>
      <c r="C98" t="s">
        <v>105</v>
      </c>
      <c r="D98" t="s">
        <v>540</v>
      </c>
      <c r="E98" t="s">
        <v>541</v>
      </c>
      <c r="F98">
        <v>15.5465478897095</v>
      </c>
      <c r="G98">
        <v>16.4861717224121</v>
      </c>
      <c r="H98">
        <v>15.7032527923584</v>
      </c>
      <c r="I98">
        <v>16.9103603363037</v>
      </c>
      <c r="J98">
        <v>17.4612560272217</v>
      </c>
      <c r="K98">
        <v>17.4817905426025</v>
      </c>
      <c r="L98">
        <v>17.0690212249756</v>
      </c>
      <c r="M98">
        <v>16.7124576568604</v>
      </c>
      <c r="N98">
        <v>15.2522478103638</v>
      </c>
      <c r="O98">
        <v>15.816107749939</v>
      </c>
      <c r="P98" t="s">
        <v>193</v>
      </c>
    </row>
    <row r="99" spans="1:16" ht="12.75">
      <c r="A99" s="62" t="str">
        <f t="shared" si="1"/>
        <v>Lebanon_Expense (% of GDP)</v>
      </c>
      <c r="B99" t="s">
        <v>492</v>
      </c>
      <c r="C99" t="s">
        <v>105</v>
      </c>
      <c r="D99" t="s">
        <v>542</v>
      </c>
      <c r="E99" t="s">
        <v>543</v>
      </c>
      <c r="F99" t="s">
        <v>193</v>
      </c>
      <c r="G99" t="s">
        <v>193</v>
      </c>
      <c r="H99" t="s">
        <v>193</v>
      </c>
      <c r="I99" t="s">
        <v>193</v>
      </c>
      <c r="J99">
        <v>31.3060464722649</v>
      </c>
      <c r="K99">
        <v>29.7471763218541</v>
      </c>
      <c r="L99">
        <v>29.0183992372604</v>
      </c>
      <c r="M99">
        <v>30.9102673129929</v>
      </c>
      <c r="N99">
        <v>26.46530913308</v>
      </c>
      <c r="O99" t="s">
        <v>193</v>
      </c>
      <c r="P99" t="s">
        <v>193</v>
      </c>
    </row>
    <row r="100" spans="1:16" ht="12.75">
      <c r="A100" s="62" t="str">
        <f t="shared" si="1"/>
        <v>Macedonia, FYR_General government final consumption expenditure (% of GDP)</v>
      </c>
      <c r="B100" t="s">
        <v>493</v>
      </c>
      <c r="C100" t="s">
        <v>494</v>
      </c>
      <c r="D100" t="s">
        <v>540</v>
      </c>
      <c r="E100" t="s">
        <v>541</v>
      </c>
      <c r="F100">
        <v>18.1275463104248</v>
      </c>
      <c r="G100">
        <v>19.7294082641602</v>
      </c>
      <c r="H100">
        <v>20.2605571746826</v>
      </c>
      <c r="I100">
        <v>20.5775985717773</v>
      </c>
      <c r="J100">
        <v>18.199161529541</v>
      </c>
      <c r="K100">
        <v>24.7959079742432</v>
      </c>
      <c r="L100">
        <v>22.3864593505859</v>
      </c>
      <c r="M100">
        <v>20.6691417694092</v>
      </c>
      <c r="N100">
        <v>20.0306568145752</v>
      </c>
      <c r="O100">
        <v>18.9954471588135</v>
      </c>
      <c r="P100">
        <v>19.3999996185303</v>
      </c>
    </row>
    <row r="101" spans="1:16" ht="12.75">
      <c r="A101" s="62" t="str">
        <f t="shared" si="1"/>
        <v>Macedonia, FYR_Expense (% of GDP)</v>
      </c>
      <c r="B101" t="s">
        <v>493</v>
      </c>
      <c r="C101" t="s">
        <v>494</v>
      </c>
      <c r="D101" t="s">
        <v>542</v>
      </c>
      <c r="E101" t="s">
        <v>543</v>
      </c>
      <c r="F101" t="s">
        <v>193</v>
      </c>
      <c r="G101" t="s">
        <v>193</v>
      </c>
      <c r="H101" t="s">
        <v>193</v>
      </c>
      <c r="I101" t="s">
        <v>193</v>
      </c>
      <c r="J101" t="s">
        <v>193</v>
      </c>
      <c r="K101" t="s">
        <v>193</v>
      </c>
      <c r="L101" t="s">
        <v>193</v>
      </c>
      <c r="M101" t="s">
        <v>193</v>
      </c>
      <c r="N101" t="s">
        <v>193</v>
      </c>
      <c r="O101" t="s">
        <v>193</v>
      </c>
      <c r="P101" t="s">
        <v>193</v>
      </c>
    </row>
    <row r="102" spans="1:16" ht="12.75">
      <c r="A102" s="62" t="str">
        <f t="shared" si="1"/>
        <v>Madagascar_General government final consumption expenditure (% of GDP)</v>
      </c>
      <c r="B102" t="s">
        <v>495</v>
      </c>
      <c r="C102" t="s">
        <v>194</v>
      </c>
      <c r="D102" t="s">
        <v>540</v>
      </c>
      <c r="E102" t="s">
        <v>541</v>
      </c>
      <c r="F102">
        <v>9.76119422912598</v>
      </c>
      <c r="G102">
        <v>7.81834697723389</v>
      </c>
      <c r="H102">
        <v>7.8271336555481</v>
      </c>
      <c r="I102">
        <v>7.2013521194458</v>
      </c>
      <c r="J102">
        <v>9.04281902313232</v>
      </c>
      <c r="K102">
        <v>9.09052276611328</v>
      </c>
      <c r="L102">
        <v>8.13525772094727</v>
      </c>
      <c r="M102">
        <v>9.2278470993042</v>
      </c>
      <c r="N102">
        <v>9.7670373916626</v>
      </c>
      <c r="O102">
        <v>8.41072940826416</v>
      </c>
      <c r="P102">
        <v>8.80740165710449</v>
      </c>
    </row>
    <row r="103" spans="1:16" ht="12.75">
      <c r="A103" s="62" t="str">
        <f t="shared" si="1"/>
        <v>Madagascar_Expense (% of GDP)</v>
      </c>
      <c r="B103" t="s">
        <v>495</v>
      </c>
      <c r="C103" t="s">
        <v>194</v>
      </c>
      <c r="D103" t="s">
        <v>542</v>
      </c>
      <c r="E103" t="s">
        <v>543</v>
      </c>
      <c r="F103" t="s">
        <v>193</v>
      </c>
      <c r="G103" t="s">
        <v>193</v>
      </c>
      <c r="H103" t="s">
        <v>193</v>
      </c>
      <c r="I103" t="s">
        <v>193</v>
      </c>
      <c r="J103">
        <v>53.0998256319842</v>
      </c>
      <c r="K103">
        <v>51.4658655083052</v>
      </c>
      <c r="L103">
        <v>47.2341096755712</v>
      </c>
      <c r="M103">
        <v>56.1136032780502</v>
      </c>
      <c r="N103">
        <v>62.9991965195258</v>
      </c>
      <c r="O103" t="s">
        <v>193</v>
      </c>
      <c r="P103" t="s">
        <v>193</v>
      </c>
    </row>
    <row r="104" spans="1:16" ht="12.75">
      <c r="A104" s="62" t="str">
        <f t="shared" si="1"/>
        <v>Malawi_General government final consumption expenditure (% of GDP)</v>
      </c>
      <c r="B104" t="s">
        <v>496</v>
      </c>
      <c r="C104" t="s">
        <v>192</v>
      </c>
      <c r="D104" t="s">
        <v>540</v>
      </c>
      <c r="E104" t="s">
        <v>541</v>
      </c>
      <c r="F104">
        <v>13.9809532165527</v>
      </c>
      <c r="G104">
        <v>17.5202503204346</v>
      </c>
      <c r="H104">
        <v>14.6836338043213</v>
      </c>
      <c r="I104">
        <v>13.445990562439</v>
      </c>
      <c r="J104">
        <v>14.5778388977051</v>
      </c>
      <c r="K104">
        <v>15.8088312149048</v>
      </c>
      <c r="L104">
        <v>14.7335681915283</v>
      </c>
      <c r="M104">
        <v>16.301549911499</v>
      </c>
      <c r="N104">
        <v>16.8863620758057</v>
      </c>
      <c r="O104">
        <v>16.6765441894531</v>
      </c>
      <c r="P104">
        <v>16.6765441894531</v>
      </c>
    </row>
    <row r="105" spans="1:16" ht="12.75">
      <c r="A105" s="62" t="str">
        <f t="shared" si="1"/>
        <v>Malawi_Expense (% of GDP)</v>
      </c>
      <c r="B105" t="s">
        <v>496</v>
      </c>
      <c r="C105" t="s">
        <v>192</v>
      </c>
      <c r="D105" t="s">
        <v>542</v>
      </c>
      <c r="E105" t="s">
        <v>543</v>
      </c>
      <c r="F105" t="s">
        <v>193</v>
      </c>
      <c r="G105" t="s">
        <v>193</v>
      </c>
      <c r="H105" t="s">
        <v>193</v>
      </c>
      <c r="I105" t="s">
        <v>193</v>
      </c>
      <c r="J105" t="s">
        <v>193</v>
      </c>
      <c r="K105" t="s">
        <v>193</v>
      </c>
      <c r="L105" t="s">
        <v>193</v>
      </c>
      <c r="M105" t="s">
        <v>193</v>
      </c>
      <c r="N105" t="s">
        <v>193</v>
      </c>
      <c r="O105" t="s">
        <v>193</v>
      </c>
      <c r="P105" t="s">
        <v>193</v>
      </c>
    </row>
    <row r="106" spans="1:16" ht="12.75">
      <c r="A106" s="62" t="str">
        <f t="shared" si="1"/>
        <v>Malaysia_General government final consumption expenditure (% of GDP)</v>
      </c>
      <c r="B106" t="s">
        <v>497</v>
      </c>
      <c r="C106" t="s">
        <v>228</v>
      </c>
      <c r="D106" t="s">
        <v>540</v>
      </c>
      <c r="E106" t="s">
        <v>541</v>
      </c>
      <c r="F106">
        <v>11.1053743362427</v>
      </c>
      <c r="G106">
        <v>10.7670469284058</v>
      </c>
      <c r="H106">
        <v>9.76899719238281</v>
      </c>
      <c r="I106">
        <v>10.9866876602173</v>
      </c>
      <c r="J106">
        <v>10.3946504592896</v>
      </c>
      <c r="K106">
        <v>12.6389036178589</v>
      </c>
      <c r="L106">
        <v>13.8306636810303</v>
      </c>
      <c r="M106">
        <v>13.8955383300781</v>
      </c>
      <c r="N106">
        <v>13.1771049499512</v>
      </c>
      <c r="O106">
        <v>12.9394092559814</v>
      </c>
      <c r="P106">
        <v>12.4992904663086</v>
      </c>
    </row>
    <row r="107" spans="1:16" ht="12.75">
      <c r="A107" s="62" t="str">
        <f t="shared" si="1"/>
        <v>Malaysia_Expense (% of GDP)</v>
      </c>
      <c r="B107" t="s">
        <v>497</v>
      </c>
      <c r="C107" t="s">
        <v>228</v>
      </c>
      <c r="D107" t="s">
        <v>542</v>
      </c>
      <c r="E107" t="s">
        <v>543</v>
      </c>
      <c r="F107">
        <v>18.4772973600443</v>
      </c>
      <c r="G107">
        <v>16.5116484000795</v>
      </c>
      <c r="H107">
        <v>16.4731351016079</v>
      </c>
      <c r="I107">
        <v>18.4387091532056</v>
      </c>
      <c r="J107">
        <v>16.2188708965293</v>
      </c>
      <c r="K107">
        <v>19.5759940828649</v>
      </c>
      <c r="L107">
        <v>23.1041599882311</v>
      </c>
      <c r="M107">
        <v>20.0839391370707</v>
      </c>
      <c r="N107" t="s">
        <v>193</v>
      </c>
      <c r="O107" t="s">
        <v>193</v>
      </c>
      <c r="P107" t="s">
        <v>193</v>
      </c>
    </row>
    <row r="108" spans="1:16" ht="12.75">
      <c r="A108" s="62" t="str">
        <f t="shared" si="1"/>
        <v>Maldives_General government final consumption expenditure (% of GDP)</v>
      </c>
      <c r="B108" t="s">
        <v>498</v>
      </c>
      <c r="C108" t="s">
        <v>87</v>
      </c>
      <c r="D108" t="s">
        <v>540</v>
      </c>
      <c r="E108" t="s">
        <v>541</v>
      </c>
      <c r="F108">
        <v>15.8517265319824</v>
      </c>
      <c r="G108">
        <v>17.6802978515625</v>
      </c>
      <c r="H108">
        <v>18.2887878417969</v>
      </c>
      <c r="I108">
        <v>20.597225189209</v>
      </c>
      <c r="J108">
        <v>22.9301624298096</v>
      </c>
      <c r="K108">
        <v>23.2093372344971</v>
      </c>
      <c r="L108">
        <v>23.1605911254883</v>
      </c>
      <c r="M108">
        <v>21.8465118408203</v>
      </c>
      <c r="N108">
        <v>24.2013549804688</v>
      </c>
      <c r="O108" t="s">
        <v>193</v>
      </c>
      <c r="P108" t="s">
        <v>193</v>
      </c>
    </row>
    <row r="109" spans="1:16" ht="12.75">
      <c r="A109" s="62" t="str">
        <f t="shared" si="1"/>
        <v>Maldives_Expense (% of GDP)</v>
      </c>
      <c r="B109" t="s">
        <v>498</v>
      </c>
      <c r="C109" t="s">
        <v>87</v>
      </c>
      <c r="D109" t="s">
        <v>542</v>
      </c>
      <c r="E109" t="s">
        <v>543</v>
      </c>
      <c r="F109">
        <v>18.0230138727752</v>
      </c>
      <c r="G109">
        <v>19.7599386914701</v>
      </c>
      <c r="H109">
        <v>20.4171849906007</v>
      </c>
      <c r="I109">
        <v>22.284223177638</v>
      </c>
      <c r="J109">
        <v>25.5280056518991</v>
      </c>
      <c r="K109">
        <v>25.7672395960937</v>
      </c>
      <c r="L109">
        <v>25.7212537063968</v>
      </c>
      <c r="M109">
        <v>26.4656098502577</v>
      </c>
      <c r="N109">
        <v>28.0529638605397</v>
      </c>
      <c r="O109">
        <v>43.8211589229284</v>
      </c>
      <c r="P109">
        <v>42.6252594167108</v>
      </c>
    </row>
    <row r="110" spans="1:16" ht="12.75">
      <c r="A110" s="62" t="str">
        <f t="shared" si="1"/>
        <v>Mauritius_General government final consumption expenditure (% of GDP)</v>
      </c>
      <c r="B110" t="s">
        <v>499</v>
      </c>
      <c r="C110" t="s">
        <v>179</v>
      </c>
      <c r="D110" t="s">
        <v>540</v>
      </c>
      <c r="E110" t="s">
        <v>541</v>
      </c>
      <c r="F110">
        <v>13.387622833252</v>
      </c>
      <c r="G110">
        <v>13.1801137924194</v>
      </c>
      <c r="H110">
        <v>12.8922758102417</v>
      </c>
      <c r="I110">
        <v>12.6972980499268</v>
      </c>
      <c r="J110">
        <v>13.0563468933105</v>
      </c>
      <c r="K110">
        <v>12.9108800888062</v>
      </c>
      <c r="L110">
        <v>12.7786989212036</v>
      </c>
      <c r="M110">
        <v>14.0525903701782</v>
      </c>
      <c r="N110">
        <v>14.2374505996704</v>
      </c>
      <c r="O110">
        <v>14.3971681594849</v>
      </c>
      <c r="P110">
        <v>14.3441390991211</v>
      </c>
    </row>
    <row r="111" spans="1:16" ht="12.75">
      <c r="A111" s="62" t="str">
        <f t="shared" si="1"/>
        <v>Mauritius_Expense (% of GDP)</v>
      </c>
      <c r="B111" t="s">
        <v>499</v>
      </c>
      <c r="C111" t="s">
        <v>179</v>
      </c>
      <c r="D111" t="s">
        <v>542</v>
      </c>
      <c r="E111" t="s">
        <v>543</v>
      </c>
      <c r="F111">
        <v>20.1799288055653</v>
      </c>
      <c r="G111">
        <v>20.8701149633671</v>
      </c>
      <c r="H111">
        <v>20.8231931456138</v>
      </c>
      <c r="I111">
        <v>22.438832165876</v>
      </c>
      <c r="J111">
        <v>21.5705539366888</v>
      </c>
      <c r="K111">
        <v>21.4989667938198</v>
      </c>
      <c r="L111">
        <v>20.8419253176548</v>
      </c>
      <c r="M111">
        <v>21.1670849027037</v>
      </c>
      <c r="N111">
        <v>21.6421153837716</v>
      </c>
      <c r="O111">
        <v>20.914901101517</v>
      </c>
      <c r="P111" t="s">
        <v>193</v>
      </c>
    </row>
    <row r="112" spans="1:16" ht="12.75">
      <c r="A112" s="62" t="str">
        <f t="shared" si="1"/>
        <v>Mexico_General government final consumption expenditure (% of GDP)</v>
      </c>
      <c r="B112" t="s">
        <v>500</v>
      </c>
      <c r="C112" t="s">
        <v>251</v>
      </c>
      <c r="D112" t="s">
        <v>540</v>
      </c>
      <c r="E112" t="s">
        <v>541</v>
      </c>
      <c r="F112">
        <v>9.63298988342285</v>
      </c>
      <c r="G112">
        <v>9.89651870727539</v>
      </c>
      <c r="H112">
        <v>10.3932857513428</v>
      </c>
      <c r="I112">
        <v>11.008807182312</v>
      </c>
      <c r="J112">
        <v>11.1431484222412</v>
      </c>
      <c r="K112">
        <v>11.758487701416</v>
      </c>
      <c r="L112">
        <v>12.1239643096924</v>
      </c>
      <c r="M112">
        <v>12.4104843139648</v>
      </c>
      <c r="N112">
        <v>11.8485269546509</v>
      </c>
      <c r="O112">
        <v>11.5456295013428</v>
      </c>
      <c r="P112">
        <v>11.7280893325806</v>
      </c>
    </row>
    <row r="113" spans="1:16" ht="12.75">
      <c r="A113" s="62" t="str">
        <f t="shared" si="1"/>
        <v>Mexico_Expense (% of GDP)</v>
      </c>
      <c r="B113" t="s">
        <v>500</v>
      </c>
      <c r="C113" t="s">
        <v>251</v>
      </c>
      <c r="D113" t="s">
        <v>542</v>
      </c>
      <c r="E113" t="s">
        <v>543</v>
      </c>
      <c r="F113">
        <v>14.4243161919814</v>
      </c>
      <c r="G113">
        <v>15.2287090443957</v>
      </c>
      <c r="H113">
        <v>13.9514432862605</v>
      </c>
      <c r="I113">
        <v>14.9220047718403</v>
      </c>
      <c r="J113">
        <v>15.4384113865027</v>
      </c>
      <c r="K113" t="s">
        <v>193</v>
      </c>
      <c r="L113" t="s">
        <v>193</v>
      </c>
      <c r="M113" t="s">
        <v>193</v>
      </c>
      <c r="N113" t="s">
        <v>193</v>
      </c>
      <c r="O113" t="s">
        <v>193</v>
      </c>
      <c r="P113" t="s">
        <v>193</v>
      </c>
    </row>
    <row r="114" spans="1:16" ht="12.75">
      <c r="A114" s="62" t="str">
        <f t="shared" si="1"/>
        <v>Moldova_General government final consumption expenditure (% of GDP)</v>
      </c>
      <c r="B114" t="s">
        <v>501</v>
      </c>
      <c r="C114" t="s">
        <v>217</v>
      </c>
      <c r="D114" t="s">
        <v>540</v>
      </c>
      <c r="E114" t="s">
        <v>541</v>
      </c>
      <c r="F114">
        <v>27.0980815887451</v>
      </c>
      <c r="G114">
        <v>18.380765914917</v>
      </c>
      <c r="H114">
        <v>13.9594049453735</v>
      </c>
      <c r="I114">
        <v>10.3963975906372</v>
      </c>
      <c r="J114">
        <v>10.2687711715698</v>
      </c>
      <c r="K114">
        <v>15.1065683364868</v>
      </c>
      <c r="L114">
        <v>20.227029800415</v>
      </c>
      <c r="M114">
        <v>19.6785411834717</v>
      </c>
      <c r="N114">
        <v>15.3433265686035</v>
      </c>
      <c r="O114">
        <v>15.1705617904663</v>
      </c>
      <c r="P114">
        <v>16.6368274688721</v>
      </c>
    </row>
    <row r="115" spans="1:16" ht="12.75">
      <c r="A115" s="62" t="str">
        <f t="shared" si="1"/>
        <v>Moldova_Expense (% of GDP)</v>
      </c>
      <c r="B115" t="s">
        <v>501</v>
      </c>
      <c r="C115" t="s">
        <v>217</v>
      </c>
      <c r="D115" t="s">
        <v>542</v>
      </c>
      <c r="E115" t="s">
        <v>543</v>
      </c>
      <c r="F115" t="s">
        <v>193</v>
      </c>
      <c r="G115">
        <v>38.4134469849869</v>
      </c>
      <c r="H115">
        <v>34.4714390671099</v>
      </c>
      <c r="I115">
        <v>29.0003488073297</v>
      </c>
      <c r="J115">
        <v>28.9254738385762</v>
      </c>
      <c r="K115">
        <v>22.2793017460548</v>
      </c>
      <c r="L115" t="s">
        <v>193</v>
      </c>
      <c r="M115">
        <v>22.2166556674428</v>
      </c>
      <c r="N115">
        <v>27.0831058259203</v>
      </c>
      <c r="O115">
        <v>29.3127541583214</v>
      </c>
      <c r="P115" t="s">
        <v>193</v>
      </c>
    </row>
    <row r="116" spans="1:16" ht="12.75">
      <c r="A116" s="62" t="str">
        <f t="shared" si="1"/>
        <v>Mongolia_General government final consumption expenditure (% of GDP)</v>
      </c>
      <c r="B116" t="s">
        <v>502</v>
      </c>
      <c r="C116" t="s">
        <v>229</v>
      </c>
      <c r="D116" t="s">
        <v>540</v>
      </c>
      <c r="E116" t="s">
        <v>541</v>
      </c>
      <c r="F116">
        <v>14.3780479431152</v>
      </c>
      <c r="G116">
        <v>13.6861791610718</v>
      </c>
      <c r="H116">
        <v>18.0443096160889</v>
      </c>
      <c r="I116">
        <v>17.0882816314697</v>
      </c>
      <c r="J116">
        <v>18.0778713226318</v>
      </c>
      <c r="K116">
        <v>19.5564041137695</v>
      </c>
      <c r="L116">
        <v>19.133752822876</v>
      </c>
      <c r="M116">
        <v>17.1247062683105</v>
      </c>
      <c r="N116">
        <v>16.5485095977783</v>
      </c>
      <c r="O116">
        <v>14.0277652740479</v>
      </c>
      <c r="P116">
        <v>14.7342672348022</v>
      </c>
    </row>
    <row r="117" spans="1:16" ht="12.75">
      <c r="A117" s="62" t="str">
        <f t="shared" si="1"/>
        <v>Mongolia_Expense (% of GDP)</v>
      </c>
      <c r="B117" t="s">
        <v>502</v>
      </c>
      <c r="C117" t="s">
        <v>229</v>
      </c>
      <c r="D117" t="s">
        <v>542</v>
      </c>
      <c r="E117" t="s">
        <v>543</v>
      </c>
      <c r="F117" t="s">
        <v>193</v>
      </c>
      <c r="G117" t="s">
        <v>193</v>
      </c>
      <c r="H117" t="s">
        <v>193</v>
      </c>
      <c r="I117" t="s">
        <v>193</v>
      </c>
      <c r="J117" t="s">
        <v>193</v>
      </c>
      <c r="K117" t="s">
        <v>193</v>
      </c>
      <c r="L117" t="s">
        <v>193</v>
      </c>
      <c r="M117">
        <v>30.4092734262616</v>
      </c>
      <c r="N117" t="s">
        <v>193</v>
      </c>
      <c r="O117" t="s">
        <v>193</v>
      </c>
      <c r="P117" t="s">
        <v>193</v>
      </c>
    </row>
    <row r="118" spans="1:16" ht="12.75">
      <c r="A118" s="62" t="str">
        <f t="shared" si="1"/>
        <v>Montenegro_General government final consumption expenditure (% of GDP)</v>
      </c>
      <c r="B118" t="s">
        <v>503</v>
      </c>
      <c r="C118" t="s">
        <v>275</v>
      </c>
      <c r="D118" t="s">
        <v>540</v>
      </c>
      <c r="E118" t="s">
        <v>541</v>
      </c>
      <c r="F118" t="s">
        <v>193</v>
      </c>
      <c r="G118" t="s">
        <v>193</v>
      </c>
      <c r="H118" t="s">
        <v>193</v>
      </c>
      <c r="I118" t="s">
        <v>193</v>
      </c>
      <c r="J118">
        <v>22.8722362518311</v>
      </c>
      <c r="K118">
        <v>26.1889457702637</v>
      </c>
      <c r="L118">
        <v>25.9853019714355</v>
      </c>
      <c r="M118">
        <v>29</v>
      </c>
      <c r="N118">
        <v>28.2999992370605</v>
      </c>
      <c r="O118">
        <v>26.2000007629395</v>
      </c>
      <c r="P118">
        <v>25.1273555755615</v>
      </c>
    </row>
    <row r="119" spans="1:16" ht="12.75">
      <c r="A119" s="62" t="str">
        <f t="shared" si="1"/>
        <v>Montenegro_Expense (% of GDP)</v>
      </c>
      <c r="B119" t="s">
        <v>503</v>
      </c>
      <c r="C119" t="s">
        <v>275</v>
      </c>
      <c r="D119" t="s">
        <v>542</v>
      </c>
      <c r="E119" t="s">
        <v>543</v>
      </c>
      <c r="F119" t="s">
        <v>193</v>
      </c>
      <c r="G119" t="s">
        <v>193</v>
      </c>
      <c r="H119" t="s">
        <v>193</v>
      </c>
      <c r="I119" t="s">
        <v>193</v>
      </c>
      <c r="J119" t="s">
        <v>193</v>
      </c>
      <c r="K119" t="s">
        <v>193</v>
      </c>
      <c r="L119" t="s">
        <v>193</v>
      </c>
      <c r="M119" t="s">
        <v>193</v>
      </c>
      <c r="N119" t="s">
        <v>193</v>
      </c>
      <c r="O119" t="s">
        <v>193</v>
      </c>
      <c r="P119" t="s">
        <v>193</v>
      </c>
    </row>
    <row r="120" spans="1:16" ht="12.75">
      <c r="A120" s="62" t="str">
        <f t="shared" si="1"/>
        <v>Morocco_General government final consumption expenditure (% of GDP)</v>
      </c>
      <c r="B120" t="s">
        <v>504</v>
      </c>
      <c r="C120" t="s">
        <v>201</v>
      </c>
      <c r="D120" t="s">
        <v>540</v>
      </c>
      <c r="E120" t="s">
        <v>541</v>
      </c>
      <c r="F120">
        <v>16.8528938293457</v>
      </c>
      <c r="G120">
        <v>17.7821178436279</v>
      </c>
      <c r="H120">
        <v>18.0232696533203</v>
      </c>
      <c r="I120">
        <v>19.1398162841797</v>
      </c>
      <c r="J120">
        <v>19.1100254058838</v>
      </c>
      <c r="K120">
        <v>19.7875957489014</v>
      </c>
      <c r="L120">
        <v>20.1019706726074</v>
      </c>
      <c r="M120">
        <v>21.0050315856934</v>
      </c>
      <c r="N120">
        <v>20.9726676940918</v>
      </c>
      <c r="O120">
        <v>22.127965927124</v>
      </c>
      <c r="P120">
        <v>20.6915435791016</v>
      </c>
    </row>
    <row r="121" spans="1:16" ht="12.75">
      <c r="A121" s="62" t="str">
        <f t="shared" si="1"/>
        <v>Morocco_Expense (% of GDP)</v>
      </c>
      <c r="B121" t="s">
        <v>504</v>
      </c>
      <c r="C121" t="s">
        <v>201</v>
      </c>
      <c r="D121" t="s">
        <v>542</v>
      </c>
      <c r="E121" t="s">
        <v>543</v>
      </c>
      <c r="F121" t="s">
        <v>193</v>
      </c>
      <c r="G121" t="s">
        <v>193</v>
      </c>
      <c r="H121" t="s">
        <v>193</v>
      </c>
      <c r="I121" t="s">
        <v>193</v>
      </c>
      <c r="J121" t="s">
        <v>193</v>
      </c>
      <c r="K121" t="s">
        <v>193</v>
      </c>
      <c r="L121">
        <v>28.7957961337986</v>
      </c>
      <c r="M121">
        <v>27.5615910360918</v>
      </c>
      <c r="N121">
        <v>28.2377812809989</v>
      </c>
      <c r="O121">
        <v>31.3059726502038</v>
      </c>
      <c r="P121" t="s">
        <v>193</v>
      </c>
    </row>
    <row r="122" spans="1:16" ht="12.75">
      <c r="A122" s="62" t="str">
        <f t="shared" si="1"/>
        <v>Nicaragua_General government final consumption expenditure (% of GDP)</v>
      </c>
      <c r="B122" t="s">
        <v>505</v>
      </c>
      <c r="C122" t="s">
        <v>252</v>
      </c>
      <c r="D122" t="s">
        <v>540</v>
      </c>
      <c r="E122" t="s">
        <v>541</v>
      </c>
      <c r="F122">
        <v>10.5956363677979</v>
      </c>
      <c r="G122">
        <v>9.5689001083374</v>
      </c>
      <c r="H122">
        <v>9.68588352203369</v>
      </c>
      <c r="I122">
        <v>11.2539539337158</v>
      </c>
      <c r="J122">
        <v>12.2395496368408</v>
      </c>
      <c r="K122">
        <v>11.8188638687134</v>
      </c>
      <c r="L122">
        <v>10.6698551177979</v>
      </c>
      <c r="M122">
        <v>11.3639936447144</v>
      </c>
      <c r="N122">
        <v>11.2010049819946</v>
      </c>
      <c r="O122">
        <v>11.1217985153198</v>
      </c>
      <c r="P122">
        <v>7.97587919235229</v>
      </c>
    </row>
    <row r="123" spans="1:16" ht="12.75">
      <c r="A123" s="62" t="str">
        <f t="shared" si="1"/>
        <v>Nicaragua_Expense (% of GDP)</v>
      </c>
      <c r="B123" t="s">
        <v>505</v>
      </c>
      <c r="C123" t="s">
        <v>252</v>
      </c>
      <c r="D123" t="s">
        <v>542</v>
      </c>
      <c r="E123" t="s">
        <v>543</v>
      </c>
      <c r="F123">
        <v>16.3815529307904</v>
      </c>
      <c r="G123">
        <v>17.0086740497559</v>
      </c>
      <c r="H123">
        <v>17.3948873379889</v>
      </c>
      <c r="I123">
        <v>19.1793926835292</v>
      </c>
      <c r="J123">
        <v>19.2062988335702</v>
      </c>
      <c r="K123">
        <v>21.8365240880703</v>
      </c>
      <c r="L123">
        <v>19.2479096155907</v>
      </c>
      <c r="M123">
        <v>20.5156496167353</v>
      </c>
      <c r="N123">
        <v>19.9994957209376</v>
      </c>
      <c r="O123">
        <v>21.0118715926045</v>
      </c>
      <c r="P123" t="s">
        <v>193</v>
      </c>
    </row>
    <row r="124" spans="1:16" ht="12.75">
      <c r="A124" s="62" t="str">
        <f t="shared" si="1"/>
        <v>Pakistan_General government final consumption expenditure (% of GDP)</v>
      </c>
      <c r="B124" t="s">
        <v>506</v>
      </c>
      <c r="C124" t="s">
        <v>235</v>
      </c>
      <c r="D124" t="s">
        <v>540</v>
      </c>
      <c r="E124" t="s">
        <v>541</v>
      </c>
      <c r="F124">
        <v>12.6451005935669</v>
      </c>
      <c r="G124">
        <v>11.8935708999634</v>
      </c>
      <c r="H124">
        <v>11.264105796814</v>
      </c>
      <c r="I124">
        <v>10.3600997924805</v>
      </c>
      <c r="J124">
        <v>8.71745300292969</v>
      </c>
      <c r="K124">
        <v>7.86906623840332</v>
      </c>
      <c r="L124">
        <v>8.82491016387939</v>
      </c>
      <c r="M124">
        <v>8.88872146606445</v>
      </c>
      <c r="N124">
        <v>8.19883728027344</v>
      </c>
      <c r="O124">
        <v>7.74739408493042</v>
      </c>
      <c r="P124">
        <v>7.55642652511597</v>
      </c>
    </row>
    <row r="125" spans="1:16" ht="12.75">
      <c r="A125" s="62" t="str">
        <f t="shared" si="1"/>
        <v>Pakistan_Expense (% of GDP)</v>
      </c>
      <c r="B125" t="s">
        <v>506</v>
      </c>
      <c r="C125" t="s">
        <v>235</v>
      </c>
      <c r="D125" t="s">
        <v>542</v>
      </c>
      <c r="E125" t="s">
        <v>543</v>
      </c>
      <c r="F125">
        <v>20.739157036903</v>
      </c>
      <c r="G125">
        <v>19.7528986219692</v>
      </c>
      <c r="H125">
        <v>19.2280114056071</v>
      </c>
      <c r="I125">
        <v>18.9942147273559</v>
      </c>
      <c r="J125">
        <v>17.335154649121</v>
      </c>
      <c r="K125">
        <v>16.4388390853674</v>
      </c>
      <c r="L125">
        <v>17.1211153096739</v>
      </c>
      <c r="M125">
        <v>17.0133503952916</v>
      </c>
      <c r="N125">
        <v>14.434419262576</v>
      </c>
      <c r="O125">
        <v>14.4431561938889</v>
      </c>
      <c r="P125">
        <v>14.9950655914647</v>
      </c>
    </row>
    <row r="126" spans="1:16" ht="12.75">
      <c r="A126" s="62" t="str">
        <f t="shared" si="1"/>
        <v>Panama_General government final consumption expenditure (% of GDP)</v>
      </c>
      <c r="B126" t="s">
        <v>507</v>
      </c>
      <c r="C126" t="s">
        <v>253</v>
      </c>
      <c r="D126" t="s">
        <v>540</v>
      </c>
      <c r="E126" t="s">
        <v>541</v>
      </c>
      <c r="F126">
        <v>13.4819412231445</v>
      </c>
      <c r="G126">
        <v>12.5029754638672</v>
      </c>
      <c r="H126">
        <v>12.6860275268555</v>
      </c>
      <c r="I126">
        <v>13.0268936157227</v>
      </c>
      <c r="J126">
        <v>13.1913433074951</v>
      </c>
      <c r="K126">
        <v>13.9411392211914</v>
      </c>
      <c r="L126">
        <v>14.8243207931519</v>
      </c>
      <c r="M126">
        <v>13.9717931747437</v>
      </c>
      <c r="N126">
        <v>13.6092758178711</v>
      </c>
      <c r="O126">
        <v>13.1354427337646</v>
      </c>
      <c r="P126">
        <v>11.5104446411133</v>
      </c>
    </row>
    <row r="127" spans="1:16" ht="12.75">
      <c r="A127" s="62" t="str">
        <f t="shared" si="1"/>
        <v>Panama_Expense (% of GDP)</v>
      </c>
      <c r="B127" t="s">
        <v>507</v>
      </c>
      <c r="C127" t="s">
        <v>253</v>
      </c>
      <c r="D127" t="s">
        <v>542</v>
      </c>
      <c r="E127" t="s">
        <v>543</v>
      </c>
      <c r="F127">
        <v>21.1411598340132</v>
      </c>
      <c r="G127">
        <v>21.5331223237286</v>
      </c>
      <c r="H127">
        <v>21.4982839863548</v>
      </c>
      <c r="I127">
        <v>21.3201469338054</v>
      </c>
      <c r="J127">
        <v>22.0962944274152</v>
      </c>
      <c r="K127">
        <v>23.1718817130212</v>
      </c>
      <c r="L127" t="s">
        <v>193</v>
      </c>
      <c r="M127" t="s">
        <v>193</v>
      </c>
      <c r="N127" t="s">
        <v>193</v>
      </c>
      <c r="O127" t="s">
        <v>193</v>
      </c>
      <c r="P127" t="s">
        <v>193</v>
      </c>
    </row>
    <row r="128" spans="1:16" ht="12.75">
      <c r="A128" s="62" t="str">
        <f t="shared" si="1"/>
        <v>Paraguay_General government final consumption expenditure (% of GDP)</v>
      </c>
      <c r="B128" t="s">
        <v>508</v>
      </c>
      <c r="C128" t="s">
        <v>128</v>
      </c>
      <c r="D128" t="s">
        <v>540</v>
      </c>
      <c r="E128" t="s">
        <v>541</v>
      </c>
      <c r="F128">
        <v>10.7755317687988</v>
      </c>
      <c r="G128">
        <v>11.4385108947754</v>
      </c>
      <c r="H128">
        <v>11.9852457046509</v>
      </c>
      <c r="I128">
        <v>11.843225479126</v>
      </c>
      <c r="J128">
        <v>12.7125215530396</v>
      </c>
      <c r="K128">
        <v>12.1067028045654</v>
      </c>
      <c r="L128">
        <v>11.4384469985962</v>
      </c>
      <c r="M128">
        <v>10.4552707672119</v>
      </c>
      <c r="N128">
        <v>9.85101318359375</v>
      </c>
      <c r="O128">
        <v>10.3735074996948</v>
      </c>
      <c r="P128">
        <v>8.81374359130859</v>
      </c>
    </row>
    <row r="129" spans="1:16" ht="12.75">
      <c r="A129" s="62" t="str">
        <f t="shared" si="1"/>
        <v>Paraguay_Expense (% of GDP)</v>
      </c>
      <c r="B129" t="s">
        <v>508</v>
      </c>
      <c r="C129" t="s">
        <v>128</v>
      </c>
      <c r="D129" t="s">
        <v>542</v>
      </c>
      <c r="E129" t="s">
        <v>543</v>
      </c>
      <c r="F129" t="s">
        <v>193</v>
      </c>
      <c r="G129" t="s">
        <v>193</v>
      </c>
      <c r="H129" t="s">
        <v>193</v>
      </c>
      <c r="I129" t="s">
        <v>193</v>
      </c>
      <c r="J129" t="s">
        <v>193</v>
      </c>
      <c r="K129" t="s">
        <v>193</v>
      </c>
      <c r="L129" t="s">
        <v>193</v>
      </c>
      <c r="M129" t="s">
        <v>193</v>
      </c>
      <c r="N129" t="s">
        <v>193</v>
      </c>
      <c r="O129">
        <v>16.7114787229482</v>
      </c>
      <c r="P129" t="s">
        <v>193</v>
      </c>
    </row>
    <row r="130" spans="1:16" ht="12.75">
      <c r="A130" s="62" t="str">
        <f aca="true" t="shared" si="2" ref="A130:A181">C130&amp;"_"&amp;E130</f>
        <v>Peru_General government final consumption expenditure (% of GDP)</v>
      </c>
      <c r="B130" t="s">
        <v>509</v>
      </c>
      <c r="C130" t="s">
        <v>254</v>
      </c>
      <c r="D130" t="s">
        <v>540</v>
      </c>
      <c r="E130" t="s">
        <v>541</v>
      </c>
      <c r="F130">
        <v>10.0867490768433</v>
      </c>
      <c r="G130">
        <v>9.83096408843994</v>
      </c>
      <c r="H130">
        <v>10.4015798568726</v>
      </c>
      <c r="I130">
        <v>10.8094434738159</v>
      </c>
      <c r="J130">
        <v>10.5925045013428</v>
      </c>
      <c r="K130">
        <v>10.6835680007935</v>
      </c>
      <c r="L130">
        <v>10.0753335952759</v>
      </c>
      <c r="M130">
        <v>10.2394008636475</v>
      </c>
      <c r="N130">
        <v>9.95630645751953</v>
      </c>
      <c r="O130">
        <v>10.0995197296143</v>
      </c>
      <c r="P130">
        <v>7.68834781646729</v>
      </c>
    </row>
    <row r="131" spans="1:16" ht="12.75">
      <c r="A131" s="62" t="str">
        <f t="shared" si="2"/>
        <v>Peru_Expense (% of GDP)</v>
      </c>
      <c r="B131" t="s">
        <v>509</v>
      </c>
      <c r="C131" t="s">
        <v>254</v>
      </c>
      <c r="D131" t="s">
        <v>542</v>
      </c>
      <c r="E131" t="s">
        <v>543</v>
      </c>
      <c r="F131">
        <v>16.8664708850751</v>
      </c>
      <c r="G131">
        <v>16.3480808146152</v>
      </c>
      <c r="H131">
        <v>16.5481105021872</v>
      </c>
      <c r="I131">
        <v>17.3520392975329</v>
      </c>
      <c r="J131">
        <v>17.8713385793715</v>
      </c>
      <c r="K131">
        <v>17.5999289082994</v>
      </c>
      <c r="L131">
        <v>16.914908327251</v>
      </c>
      <c r="M131">
        <v>16.9733042566731</v>
      </c>
      <c r="N131">
        <v>16.6572616934863</v>
      </c>
      <c r="O131">
        <v>17.2726238483818</v>
      </c>
      <c r="P131" t="s">
        <v>193</v>
      </c>
    </row>
    <row r="132" spans="1:16" ht="12.75">
      <c r="A132" s="62" t="str">
        <f t="shared" si="2"/>
        <v>Philippines_General government final consumption expenditure (% of GDP)</v>
      </c>
      <c r="B132" t="s">
        <v>510</v>
      </c>
      <c r="C132" t="s">
        <v>230</v>
      </c>
      <c r="D132" t="s">
        <v>540</v>
      </c>
      <c r="E132" t="s">
        <v>541</v>
      </c>
      <c r="F132">
        <v>11.9479885101318</v>
      </c>
      <c r="G132">
        <v>13.1837196350098</v>
      </c>
      <c r="H132">
        <v>13.2982378005981</v>
      </c>
      <c r="I132">
        <v>13.0752611160278</v>
      </c>
      <c r="J132">
        <v>13.0817794799805</v>
      </c>
      <c r="K132">
        <v>12.2494068145752</v>
      </c>
      <c r="L132">
        <v>11.5267095565796</v>
      </c>
      <c r="M132">
        <v>11.0603895187378</v>
      </c>
      <c r="N132">
        <v>10.1281480789185</v>
      </c>
      <c r="O132">
        <v>9.70115375518799</v>
      </c>
      <c r="P132">
        <v>8.65091514587402</v>
      </c>
    </row>
    <row r="133" spans="1:16" ht="12.75">
      <c r="A133" s="62" t="str">
        <f t="shared" si="2"/>
        <v>Philippines_Expense (% of GDP)</v>
      </c>
      <c r="B133" t="s">
        <v>510</v>
      </c>
      <c r="C133" t="s">
        <v>230</v>
      </c>
      <c r="D133" t="s">
        <v>542</v>
      </c>
      <c r="E133" t="s">
        <v>543</v>
      </c>
      <c r="F133" t="s">
        <v>193</v>
      </c>
      <c r="G133" t="s">
        <v>193</v>
      </c>
      <c r="H133" t="s">
        <v>193</v>
      </c>
      <c r="I133" t="s">
        <v>193</v>
      </c>
      <c r="J133">
        <v>17.4498847762492</v>
      </c>
      <c r="K133" t="s">
        <v>193</v>
      </c>
      <c r="L133" t="s">
        <v>193</v>
      </c>
      <c r="M133">
        <v>19.6179547107669</v>
      </c>
      <c r="N133">
        <v>18.6380074392152</v>
      </c>
      <c r="O133">
        <v>18.0260352064953</v>
      </c>
      <c r="P133" t="s">
        <v>193</v>
      </c>
    </row>
    <row r="134" spans="1:16" ht="12.75">
      <c r="A134" s="62" t="str">
        <f t="shared" si="2"/>
        <v>Poland_General government final consumption expenditure (% of GDP)</v>
      </c>
      <c r="B134" t="s">
        <v>511</v>
      </c>
      <c r="C134" t="s">
        <v>218</v>
      </c>
      <c r="D134" t="s">
        <v>540</v>
      </c>
      <c r="E134" t="s">
        <v>541</v>
      </c>
      <c r="F134">
        <v>19.2482738494873</v>
      </c>
      <c r="G134">
        <v>18.7563781738281</v>
      </c>
      <c r="H134">
        <v>18.2460403442383</v>
      </c>
      <c r="I134">
        <v>18.449987411499</v>
      </c>
      <c r="J134">
        <v>18.5508670806885</v>
      </c>
      <c r="K134">
        <v>18.9988708496094</v>
      </c>
      <c r="L134">
        <v>19.0457744598389</v>
      </c>
      <c r="M134">
        <v>19.2931079864502</v>
      </c>
      <c r="N134">
        <v>18.6670970916748</v>
      </c>
      <c r="O134">
        <v>19.1803398132324</v>
      </c>
      <c r="P134">
        <v>18.802755355835</v>
      </c>
    </row>
    <row r="135" spans="1:16" ht="12.75">
      <c r="A135" s="62" t="str">
        <f t="shared" si="2"/>
        <v>Poland_Expense (% of GDP)</v>
      </c>
      <c r="B135" t="s">
        <v>511</v>
      </c>
      <c r="C135" t="s">
        <v>218</v>
      </c>
      <c r="D135" t="s">
        <v>542</v>
      </c>
      <c r="E135" t="s">
        <v>543</v>
      </c>
      <c r="F135" t="s">
        <v>193</v>
      </c>
      <c r="G135" t="s">
        <v>193</v>
      </c>
      <c r="H135" t="s">
        <v>193</v>
      </c>
      <c r="I135" t="s">
        <v>193</v>
      </c>
      <c r="J135" t="s">
        <v>193</v>
      </c>
      <c r="K135">
        <v>35.5925732465078</v>
      </c>
      <c r="L135">
        <v>35.2738307992709</v>
      </c>
      <c r="M135">
        <v>38.6570600320192</v>
      </c>
      <c r="N135">
        <v>36.8305170107576</v>
      </c>
      <c r="O135">
        <v>36.2748513720034</v>
      </c>
      <c r="P135" t="s">
        <v>193</v>
      </c>
    </row>
    <row r="136" spans="1:16" ht="12.75">
      <c r="A136" s="62" t="str">
        <f t="shared" si="2"/>
        <v>Romania_General government final consumption expenditure (% of GDP)</v>
      </c>
      <c r="B136" t="s">
        <v>512</v>
      </c>
      <c r="C136" t="s">
        <v>219</v>
      </c>
      <c r="D136" t="s">
        <v>540</v>
      </c>
      <c r="E136" t="s">
        <v>541</v>
      </c>
      <c r="F136">
        <v>13.1049880981445</v>
      </c>
      <c r="G136">
        <v>12.2564849853516</v>
      </c>
      <c r="H136">
        <v>7.10166645050049</v>
      </c>
      <c r="I136">
        <v>5.69026613235474</v>
      </c>
      <c r="J136">
        <v>7.20881319046021</v>
      </c>
      <c r="K136">
        <v>6.64145421981812</v>
      </c>
      <c r="L136">
        <v>6.8188042640686</v>
      </c>
      <c r="M136">
        <v>10.1102724075317</v>
      </c>
      <c r="N136">
        <v>9.80749988555908</v>
      </c>
      <c r="O136">
        <v>9.88420104980469</v>
      </c>
      <c r="P136">
        <v>13.0355978012085</v>
      </c>
    </row>
    <row r="137" spans="1:16" ht="12.75">
      <c r="A137" s="62" t="str">
        <f t="shared" si="2"/>
        <v>Romania_Expense (% of GDP)</v>
      </c>
      <c r="B137" t="s">
        <v>512</v>
      </c>
      <c r="C137" t="s">
        <v>219</v>
      </c>
      <c r="D137" t="s">
        <v>542</v>
      </c>
      <c r="E137" t="s">
        <v>543</v>
      </c>
      <c r="F137" t="s">
        <v>193</v>
      </c>
      <c r="G137" t="s">
        <v>193</v>
      </c>
      <c r="H137" t="s">
        <v>193</v>
      </c>
      <c r="I137" t="s">
        <v>193</v>
      </c>
      <c r="J137" t="s">
        <v>193</v>
      </c>
      <c r="K137" t="s">
        <v>193</v>
      </c>
      <c r="L137">
        <v>25.9098865825513</v>
      </c>
      <c r="M137" t="s">
        <v>193</v>
      </c>
      <c r="N137" t="s">
        <v>193</v>
      </c>
      <c r="O137" t="s">
        <v>193</v>
      </c>
      <c r="P137" t="s">
        <v>193</v>
      </c>
    </row>
    <row r="138" spans="1:16" ht="12.75">
      <c r="A138" s="62" t="str">
        <f t="shared" si="2"/>
        <v>Russian Federation_General government final consumption expenditure (% of GDP)</v>
      </c>
      <c r="B138" t="s">
        <v>513</v>
      </c>
      <c r="C138" t="s">
        <v>220</v>
      </c>
      <c r="D138" t="s">
        <v>540</v>
      </c>
      <c r="E138" t="s">
        <v>541</v>
      </c>
      <c r="F138">
        <v>19.4939727783203</v>
      </c>
      <c r="G138">
        <v>21.0672359466553</v>
      </c>
      <c r="H138">
        <v>18.7328872680664</v>
      </c>
      <c r="I138">
        <v>14.579532623291</v>
      </c>
      <c r="J138">
        <v>15.0911626815796</v>
      </c>
      <c r="K138">
        <v>16.4352169036865</v>
      </c>
      <c r="L138">
        <v>17.6658515930176</v>
      </c>
      <c r="M138">
        <v>17.5984649658203</v>
      </c>
      <c r="N138">
        <v>16.4329166412354</v>
      </c>
      <c r="O138">
        <v>16.4606075286865</v>
      </c>
      <c r="P138">
        <v>16.7181854248047</v>
      </c>
    </row>
    <row r="139" spans="1:16" ht="12.75">
      <c r="A139" s="62" t="str">
        <f t="shared" si="2"/>
        <v>Russian Federation_Expense (% of GDP)</v>
      </c>
      <c r="B139" t="s">
        <v>513</v>
      </c>
      <c r="C139" t="s">
        <v>220</v>
      </c>
      <c r="D139" t="s">
        <v>542</v>
      </c>
      <c r="E139" t="s">
        <v>543</v>
      </c>
      <c r="F139" t="s">
        <v>193</v>
      </c>
      <c r="G139" t="s">
        <v>193</v>
      </c>
      <c r="H139" t="s">
        <v>193</v>
      </c>
      <c r="I139" t="s">
        <v>193</v>
      </c>
      <c r="J139" t="s">
        <v>193</v>
      </c>
      <c r="K139" t="s">
        <v>193</v>
      </c>
      <c r="L139">
        <v>22.5352469903619</v>
      </c>
      <c r="M139">
        <v>22.9854563484001</v>
      </c>
      <c r="N139">
        <v>21.5473829500648</v>
      </c>
      <c r="O139">
        <v>19.9385646617102</v>
      </c>
      <c r="P139" t="s">
        <v>193</v>
      </c>
    </row>
    <row r="140" spans="1:16" ht="12.75">
      <c r="A140" s="62" t="str">
        <f t="shared" si="2"/>
        <v>Senegal_General government final consumption expenditure (% of GDP)</v>
      </c>
      <c r="B140" t="s">
        <v>514</v>
      </c>
      <c r="C140" t="s">
        <v>138</v>
      </c>
      <c r="D140" t="s">
        <v>540</v>
      </c>
      <c r="E140" t="s">
        <v>541</v>
      </c>
      <c r="F140">
        <v>12.0763235092163</v>
      </c>
      <c r="G140">
        <v>11.8922290802002</v>
      </c>
      <c r="H140">
        <v>11.8306484222412</v>
      </c>
      <c r="I140">
        <v>12.6565704345703</v>
      </c>
      <c r="J140">
        <v>13.9978876113892</v>
      </c>
      <c r="K140">
        <v>12.6053142547607</v>
      </c>
      <c r="L140">
        <v>13.2664165496826</v>
      </c>
      <c r="M140">
        <v>13.418173789978</v>
      </c>
      <c r="N140">
        <v>13.8695440292358</v>
      </c>
      <c r="O140">
        <v>13.5692129135132</v>
      </c>
      <c r="P140">
        <v>13.6645088195801</v>
      </c>
    </row>
    <row r="141" spans="1:16" ht="12.75">
      <c r="A141" s="62" t="str">
        <f t="shared" si="2"/>
        <v>Senegal_Expense (% of GDP)</v>
      </c>
      <c r="B141" t="s">
        <v>514</v>
      </c>
      <c r="C141" t="s">
        <v>138</v>
      </c>
      <c r="D141" t="s">
        <v>542</v>
      </c>
      <c r="E141" t="s">
        <v>543</v>
      </c>
      <c r="F141" t="s">
        <v>193</v>
      </c>
      <c r="G141" t="s">
        <v>193</v>
      </c>
      <c r="H141" t="s">
        <v>193</v>
      </c>
      <c r="I141">
        <v>12.3854928351307</v>
      </c>
      <c r="J141">
        <v>13.6525571974514</v>
      </c>
      <c r="K141">
        <v>15.5681134767505</v>
      </c>
      <c r="L141" t="s">
        <v>193</v>
      </c>
      <c r="M141" t="s">
        <v>193</v>
      </c>
      <c r="N141" t="s">
        <v>193</v>
      </c>
      <c r="O141" t="s">
        <v>193</v>
      </c>
      <c r="P141" t="s">
        <v>193</v>
      </c>
    </row>
    <row r="142" spans="1:16" ht="12.75">
      <c r="A142" s="62" t="str">
        <f t="shared" si="2"/>
        <v>Serbia_General government final consumption expenditure (% of GDP)</v>
      </c>
      <c r="B142" t="s">
        <v>515</v>
      </c>
      <c r="C142" t="s">
        <v>276</v>
      </c>
      <c r="D142" t="s">
        <v>540</v>
      </c>
      <c r="E142" t="s">
        <v>541</v>
      </c>
      <c r="F142" t="s">
        <v>193</v>
      </c>
      <c r="G142">
        <v>22.6188316345215</v>
      </c>
      <c r="H142">
        <v>20.3907928466797</v>
      </c>
      <c r="I142">
        <v>18.3733425140381</v>
      </c>
      <c r="J142">
        <v>18.9386234283447</v>
      </c>
      <c r="K142">
        <v>20.4739475250244</v>
      </c>
      <c r="L142">
        <v>22.346830368042</v>
      </c>
      <c r="M142">
        <v>22.5363578796387</v>
      </c>
      <c r="N142">
        <v>19.862621307373</v>
      </c>
      <c r="O142">
        <v>20.8696117401123</v>
      </c>
      <c r="P142">
        <v>21.1646690368652</v>
      </c>
    </row>
    <row r="143" spans="1:16" ht="12.75">
      <c r="A143" s="62" t="str">
        <f t="shared" si="2"/>
        <v>Serbia_Expense (% of GDP)</v>
      </c>
      <c r="B143" t="s">
        <v>515</v>
      </c>
      <c r="C143" t="s">
        <v>276</v>
      </c>
      <c r="D143" t="s">
        <v>542</v>
      </c>
      <c r="E143" t="s">
        <v>543</v>
      </c>
      <c r="F143" t="s">
        <v>193</v>
      </c>
      <c r="G143" t="s">
        <v>193</v>
      </c>
      <c r="H143" t="s">
        <v>193</v>
      </c>
      <c r="I143" t="s">
        <v>193</v>
      </c>
      <c r="J143" t="s">
        <v>193</v>
      </c>
      <c r="K143" t="s">
        <v>193</v>
      </c>
      <c r="L143" t="s">
        <v>193</v>
      </c>
      <c r="M143" t="s">
        <v>193</v>
      </c>
      <c r="N143" t="s">
        <v>193</v>
      </c>
      <c r="O143" t="s">
        <v>193</v>
      </c>
      <c r="P143" t="s">
        <v>193</v>
      </c>
    </row>
    <row r="144" spans="1:16" ht="12.75">
      <c r="A144" s="62" t="str">
        <f t="shared" si="2"/>
        <v>Slovak Republic_General government final consumption expenditure (% of GDP)</v>
      </c>
      <c r="B144" t="s">
        <v>516</v>
      </c>
      <c r="C144" t="s">
        <v>221</v>
      </c>
      <c r="D144" t="s">
        <v>540</v>
      </c>
      <c r="E144" t="s">
        <v>541</v>
      </c>
      <c r="F144">
        <v>24.0790367126465</v>
      </c>
      <c r="G144">
        <v>21.8872737884521</v>
      </c>
      <c r="H144">
        <v>22.6954898834229</v>
      </c>
      <c r="I144">
        <v>20.7854309082031</v>
      </c>
      <c r="J144">
        <v>20.8572273254395</v>
      </c>
      <c r="K144">
        <v>21.3201122283936</v>
      </c>
      <c r="L144">
        <v>21.0973796844482</v>
      </c>
      <c r="M144">
        <v>21.4273529052734</v>
      </c>
      <c r="N144">
        <v>21.046558380127</v>
      </c>
      <c r="O144">
        <v>19.4845333099365</v>
      </c>
      <c r="P144">
        <v>19.0716285705566</v>
      </c>
    </row>
    <row r="145" spans="1:16" ht="12.75">
      <c r="A145" s="62" t="str">
        <f t="shared" si="2"/>
        <v>Slovak Republic_Expense (% of GDP)</v>
      </c>
      <c r="B145" t="s">
        <v>516</v>
      </c>
      <c r="C145" t="s">
        <v>221</v>
      </c>
      <c r="D145" t="s">
        <v>542</v>
      </c>
      <c r="E145" t="s">
        <v>543</v>
      </c>
      <c r="F145" t="s">
        <v>193</v>
      </c>
      <c r="G145" t="s">
        <v>193</v>
      </c>
      <c r="H145" t="s">
        <v>193</v>
      </c>
      <c r="I145" t="s">
        <v>193</v>
      </c>
      <c r="J145" t="s">
        <v>193</v>
      </c>
      <c r="K145" t="s">
        <v>193</v>
      </c>
      <c r="L145" t="s">
        <v>193</v>
      </c>
      <c r="M145">
        <v>36.4567284933534</v>
      </c>
      <c r="N145">
        <v>36.0175392794554</v>
      </c>
      <c r="O145">
        <v>34.1082467389904</v>
      </c>
      <c r="P145" t="s">
        <v>193</v>
      </c>
    </row>
    <row r="146" spans="1:16" ht="12.75">
      <c r="A146" s="62" t="str">
        <f t="shared" si="2"/>
        <v>Slovenia_General government final consumption expenditure (% of GDP)</v>
      </c>
      <c r="B146" t="s">
        <v>517</v>
      </c>
      <c r="C146" t="s">
        <v>518</v>
      </c>
      <c r="D146" t="s">
        <v>540</v>
      </c>
      <c r="E146" t="s">
        <v>541</v>
      </c>
      <c r="F146">
        <v>18.9612503051758</v>
      </c>
      <c r="G146">
        <v>18.8042640686035</v>
      </c>
      <c r="H146">
        <v>18.7414817810059</v>
      </c>
      <c r="I146">
        <v>18.7645034790039</v>
      </c>
      <c r="J146">
        <v>19.2964763641357</v>
      </c>
      <c r="K146">
        <v>19.9594879150391</v>
      </c>
      <c r="L146">
        <v>19.7460308074951</v>
      </c>
      <c r="M146">
        <v>19.594388961792</v>
      </c>
      <c r="N146">
        <v>19.5720520019531</v>
      </c>
      <c r="O146">
        <v>19.5678787231445</v>
      </c>
      <c r="P146">
        <v>19.2405796051025</v>
      </c>
    </row>
    <row r="147" spans="1:16" ht="12.75">
      <c r="A147" s="62" t="str">
        <f t="shared" si="2"/>
        <v>Slovenia_Expense (% of GDP)</v>
      </c>
      <c r="B147" t="s">
        <v>517</v>
      </c>
      <c r="C147" t="s">
        <v>518</v>
      </c>
      <c r="D147" t="s">
        <v>542</v>
      </c>
      <c r="E147" t="s">
        <v>543</v>
      </c>
      <c r="F147">
        <v>34.2344237705976</v>
      </c>
      <c r="G147">
        <v>35.3164663286488</v>
      </c>
      <c r="H147">
        <v>35.8839353878255</v>
      </c>
      <c r="I147">
        <v>36.1370103008638</v>
      </c>
      <c r="J147">
        <v>40.1813980905022</v>
      </c>
      <c r="K147">
        <v>41.1558893914895</v>
      </c>
      <c r="L147">
        <v>40.5001322099831</v>
      </c>
      <c r="M147">
        <v>40.8466647746964</v>
      </c>
      <c r="N147">
        <v>40.6707874308083</v>
      </c>
      <c r="O147">
        <v>41.2516471647109</v>
      </c>
      <c r="P147" t="s">
        <v>193</v>
      </c>
    </row>
    <row r="148" spans="1:16" ht="12.75">
      <c r="A148" s="62" t="str">
        <f t="shared" si="2"/>
        <v>South Africa_General government final consumption expenditure (% of GDP)</v>
      </c>
      <c r="B148" t="s">
        <v>519</v>
      </c>
      <c r="C148" t="s">
        <v>177</v>
      </c>
      <c r="D148" t="s">
        <v>540</v>
      </c>
      <c r="E148" t="s">
        <v>541</v>
      </c>
      <c r="F148">
        <v>19.097375869751</v>
      </c>
      <c r="G148">
        <v>19.2354125976563</v>
      </c>
      <c r="H148">
        <v>18.7724266052246</v>
      </c>
      <c r="I148">
        <v>18.4287986755371</v>
      </c>
      <c r="J148">
        <v>18.1476287841797</v>
      </c>
      <c r="K148">
        <v>18.2626190185547</v>
      </c>
      <c r="L148">
        <v>18.4210338592529</v>
      </c>
      <c r="M148">
        <v>19.268217086792</v>
      </c>
      <c r="N148">
        <v>19.5515289306641</v>
      </c>
      <c r="O148">
        <v>19.9704055786133</v>
      </c>
      <c r="P148">
        <v>19.8546676635742</v>
      </c>
    </row>
    <row r="149" spans="1:16" ht="12.75">
      <c r="A149" s="62" t="str">
        <f t="shared" si="2"/>
        <v>South Africa_Expense (% of GDP)</v>
      </c>
      <c r="B149" t="s">
        <v>519</v>
      </c>
      <c r="C149" t="s">
        <v>177</v>
      </c>
      <c r="D149" t="s">
        <v>542</v>
      </c>
      <c r="E149" t="s">
        <v>543</v>
      </c>
      <c r="F149" t="s">
        <v>193</v>
      </c>
      <c r="G149" t="s">
        <v>193</v>
      </c>
      <c r="H149" t="s">
        <v>193</v>
      </c>
      <c r="I149" t="s">
        <v>193</v>
      </c>
      <c r="J149">
        <v>27.9068865997913</v>
      </c>
      <c r="K149">
        <v>27.8238280437331</v>
      </c>
      <c r="L149">
        <v>27.5684533244805</v>
      </c>
      <c r="M149">
        <v>28.9579688735516</v>
      </c>
      <c r="N149">
        <v>29.4627234370849</v>
      </c>
      <c r="O149">
        <v>29.3128610432765</v>
      </c>
      <c r="P149" t="s">
        <v>193</v>
      </c>
    </row>
    <row r="150" spans="1:16" ht="12.75">
      <c r="A150" s="62" t="str">
        <f t="shared" si="2"/>
        <v>Sri Lanka_General government final consumption expenditure (% of GDP)</v>
      </c>
      <c r="B150" t="s">
        <v>520</v>
      </c>
      <c r="C150" t="s">
        <v>236</v>
      </c>
      <c r="D150" t="s">
        <v>540</v>
      </c>
      <c r="E150" t="s">
        <v>541</v>
      </c>
      <c r="F150">
        <v>10.5478515625</v>
      </c>
      <c r="G150">
        <v>10.355936050415</v>
      </c>
      <c r="H150">
        <v>9.79371356964111</v>
      </c>
      <c r="I150">
        <v>9.03284358978271</v>
      </c>
      <c r="J150">
        <v>10.510910987854</v>
      </c>
      <c r="K150">
        <v>10.2629814147949</v>
      </c>
      <c r="L150">
        <v>8.80664539337158</v>
      </c>
      <c r="M150">
        <v>7.90773820877075</v>
      </c>
      <c r="N150">
        <v>8.11662769317627</v>
      </c>
      <c r="O150">
        <v>8.46990203857422</v>
      </c>
      <c r="P150">
        <v>7.69700622558594</v>
      </c>
    </row>
    <row r="151" spans="1:16" ht="12.75">
      <c r="A151" s="62" t="str">
        <f t="shared" si="2"/>
        <v>Sri Lanka_Expense (% of GDP)</v>
      </c>
      <c r="B151" t="s">
        <v>520</v>
      </c>
      <c r="C151" t="s">
        <v>236</v>
      </c>
      <c r="D151" t="s">
        <v>542</v>
      </c>
      <c r="E151" t="s">
        <v>543</v>
      </c>
      <c r="F151">
        <v>24.9761761120605</v>
      </c>
      <c r="G151">
        <v>22.8316733376407</v>
      </c>
      <c r="H151">
        <v>21.7645386825905</v>
      </c>
      <c r="I151">
        <v>21.219315589977</v>
      </c>
      <c r="J151">
        <v>22.9886872394053</v>
      </c>
      <c r="K151">
        <v>23.8133767175416</v>
      </c>
      <c r="L151">
        <v>22.9069744663032</v>
      </c>
      <c r="M151">
        <v>21.1906806268402</v>
      </c>
      <c r="N151">
        <v>21.3384978313027</v>
      </c>
      <c r="O151">
        <v>20.9403311627023</v>
      </c>
      <c r="P151" t="s">
        <v>193</v>
      </c>
    </row>
    <row r="152" spans="1:16" ht="12.75">
      <c r="A152" s="62" t="str">
        <f t="shared" si="2"/>
        <v>St. Kitts and Nevis_General government final consumption expenditure (% of GDP)</v>
      </c>
      <c r="B152" t="s">
        <v>521</v>
      </c>
      <c r="C152" t="s">
        <v>256</v>
      </c>
      <c r="D152" t="s">
        <v>540</v>
      </c>
      <c r="E152" t="s">
        <v>541</v>
      </c>
      <c r="F152">
        <v>19.9230766296387</v>
      </c>
      <c r="G152">
        <v>19.2964954376221</v>
      </c>
      <c r="H152">
        <v>19.1407604217529</v>
      </c>
      <c r="I152">
        <v>21.2228012084961</v>
      </c>
      <c r="J152">
        <v>21.1284236907959</v>
      </c>
      <c r="K152">
        <v>20.7132263183594</v>
      </c>
      <c r="L152">
        <v>19.7532691955566</v>
      </c>
      <c r="M152">
        <v>18.6090621948242</v>
      </c>
      <c r="N152">
        <v>19.9062461853027</v>
      </c>
      <c r="O152" t="s">
        <v>193</v>
      </c>
      <c r="P152" t="s">
        <v>193</v>
      </c>
    </row>
    <row r="153" spans="1:16" ht="12.75">
      <c r="A153" s="62" t="str">
        <f t="shared" si="2"/>
        <v>St. Kitts and Nevis_Expense (% of GDP)</v>
      </c>
      <c r="B153" t="s">
        <v>521</v>
      </c>
      <c r="C153" t="s">
        <v>256</v>
      </c>
      <c r="D153" t="s">
        <v>542</v>
      </c>
      <c r="E153" t="s">
        <v>543</v>
      </c>
      <c r="F153" t="s">
        <v>193</v>
      </c>
      <c r="G153" t="s">
        <v>193</v>
      </c>
      <c r="H153" t="s">
        <v>193</v>
      </c>
      <c r="I153" t="s">
        <v>193</v>
      </c>
      <c r="J153" t="s">
        <v>193</v>
      </c>
      <c r="K153" t="s">
        <v>193</v>
      </c>
      <c r="L153" t="s">
        <v>193</v>
      </c>
      <c r="M153">
        <v>36.5790574099116</v>
      </c>
      <c r="N153" t="s">
        <v>193</v>
      </c>
      <c r="O153" t="s">
        <v>193</v>
      </c>
      <c r="P153" t="s">
        <v>193</v>
      </c>
    </row>
    <row r="154" spans="1:16" ht="12.75">
      <c r="A154" s="62" t="str">
        <f t="shared" si="2"/>
        <v>St. Lucia_General government final consumption expenditure (% of GDP)</v>
      </c>
      <c r="B154" t="s">
        <v>522</v>
      </c>
      <c r="C154" t="s">
        <v>255</v>
      </c>
      <c r="D154" t="s">
        <v>540</v>
      </c>
      <c r="E154" t="s">
        <v>541</v>
      </c>
      <c r="F154">
        <v>15.6094694137573</v>
      </c>
      <c r="G154">
        <v>15.7148323059082</v>
      </c>
      <c r="H154">
        <v>14.2594747543335</v>
      </c>
      <c r="I154">
        <v>22.6251106262207</v>
      </c>
      <c r="J154">
        <v>23.2427825927734</v>
      </c>
      <c r="K154">
        <v>27.2890453338623</v>
      </c>
      <c r="L154">
        <v>26.7210350036621</v>
      </c>
      <c r="M154">
        <v>23.7008934020996</v>
      </c>
      <c r="N154">
        <v>23.3400325775146</v>
      </c>
      <c r="O154" t="s">
        <v>193</v>
      </c>
      <c r="P154" t="s">
        <v>193</v>
      </c>
    </row>
    <row r="155" spans="1:16" ht="12.75">
      <c r="A155" s="62" t="str">
        <f t="shared" si="2"/>
        <v>St. Lucia_Expense (% of GDP)</v>
      </c>
      <c r="B155" t="s">
        <v>522</v>
      </c>
      <c r="C155" t="s">
        <v>255</v>
      </c>
      <c r="D155" t="s">
        <v>542</v>
      </c>
      <c r="E155" t="s">
        <v>543</v>
      </c>
      <c r="F155" t="s">
        <v>193</v>
      </c>
      <c r="G155" t="s">
        <v>193</v>
      </c>
      <c r="H155" t="s">
        <v>193</v>
      </c>
      <c r="I155" t="s">
        <v>193</v>
      </c>
      <c r="J155" t="s">
        <v>193</v>
      </c>
      <c r="K155" t="s">
        <v>193</v>
      </c>
      <c r="L155" t="s">
        <v>193</v>
      </c>
      <c r="M155" t="s">
        <v>193</v>
      </c>
      <c r="N155" t="s">
        <v>193</v>
      </c>
      <c r="O155" t="s">
        <v>193</v>
      </c>
      <c r="P155" t="s">
        <v>193</v>
      </c>
    </row>
    <row r="156" spans="1:16" ht="12.75">
      <c r="A156" s="62" t="str">
        <f t="shared" si="2"/>
        <v>St. Vincent and the Grenadines_General government final consumption expenditure (% of GDP)</v>
      </c>
      <c r="B156" t="s">
        <v>523</v>
      </c>
      <c r="C156" t="s">
        <v>524</v>
      </c>
      <c r="D156" t="s">
        <v>540</v>
      </c>
      <c r="E156" t="s">
        <v>541</v>
      </c>
      <c r="F156">
        <v>28.4830951690674</v>
      </c>
      <c r="G156">
        <v>28.8220558166504</v>
      </c>
      <c r="H156">
        <v>18.419828414917</v>
      </c>
      <c r="I156">
        <v>19.9551563262939</v>
      </c>
      <c r="J156">
        <v>20</v>
      </c>
      <c r="K156">
        <v>19.8285102844238</v>
      </c>
      <c r="L156">
        <v>20.9726448059082</v>
      </c>
      <c r="M156">
        <v>19.4767436981201</v>
      </c>
      <c r="N156">
        <v>19.220308303833</v>
      </c>
      <c r="O156">
        <v>19.3152446746826</v>
      </c>
      <c r="P156" t="s">
        <v>193</v>
      </c>
    </row>
    <row r="157" spans="1:16" ht="12.75">
      <c r="A157" s="62" t="str">
        <f t="shared" si="2"/>
        <v>St. Vincent and the Grenadines_Expense (% of GDP)</v>
      </c>
      <c r="B157" t="s">
        <v>523</v>
      </c>
      <c r="C157" t="s">
        <v>524</v>
      </c>
      <c r="D157" t="s">
        <v>542</v>
      </c>
      <c r="E157" t="s">
        <v>543</v>
      </c>
      <c r="F157" t="s">
        <v>193</v>
      </c>
      <c r="G157" t="s">
        <v>193</v>
      </c>
      <c r="H157" t="s">
        <v>193</v>
      </c>
      <c r="I157" t="s">
        <v>193</v>
      </c>
      <c r="J157" t="s">
        <v>193</v>
      </c>
      <c r="K157" t="s">
        <v>193</v>
      </c>
      <c r="L157" t="s">
        <v>193</v>
      </c>
      <c r="M157" t="s">
        <v>193</v>
      </c>
      <c r="N157" t="s">
        <v>193</v>
      </c>
      <c r="O157" t="s">
        <v>193</v>
      </c>
      <c r="P157" t="s">
        <v>193</v>
      </c>
    </row>
    <row r="158" spans="1:16" ht="12.75">
      <c r="A158" s="62" t="str">
        <f t="shared" si="2"/>
        <v>Syrian Arab Republic_General government final consumption expenditure (% of GDP)</v>
      </c>
      <c r="B158" t="s">
        <v>525</v>
      </c>
      <c r="C158" t="s">
        <v>526</v>
      </c>
      <c r="D158" t="s">
        <v>540</v>
      </c>
      <c r="E158" t="s">
        <v>541</v>
      </c>
      <c r="F158">
        <v>11.7703084945679</v>
      </c>
      <c r="G158">
        <v>10.6322822570801</v>
      </c>
      <c r="H158">
        <v>10.7735652923584</v>
      </c>
      <c r="I158">
        <v>10.6040592193604</v>
      </c>
      <c r="J158">
        <v>12.4171409606934</v>
      </c>
      <c r="K158">
        <v>12.4971256256104</v>
      </c>
      <c r="L158">
        <v>12.2757053375244</v>
      </c>
      <c r="M158">
        <v>13.4991779327393</v>
      </c>
      <c r="N158">
        <v>14.0489416122437</v>
      </c>
      <c r="O158" t="s">
        <v>193</v>
      </c>
      <c r="P158" t="s">
        <v>193</v>
      </c>
    </row>
    <row r="159" spans="1:16" ht="12.75">
      <c r="A159" s="62" t="str">
        <f t="shared" si="2"/>
        <v>Syrian Arab Republic_Expense (% of GDP)</v>
      </c>
      <c r="B159" t="s">
        <v>525</v>
      </c>
      <c r="C159" t="s">
        <v>526</v>
      </c>
      <c r="D159" t="s">
        <v>542</v>
      </c>
      <c r="E159" t="s">
        <v>543</v>
      </c>
      <c r="F159" t="s">
        <v>193</v>
      </c>
      <c r="G159" t="s">
        <v>193</v>
      </c>
      <c r="H159" t="s">
        <v>193</v>
      </c>
      <c r="I159" t="s">
        <v>193</v>
      </c>
      <c r="J159" t="s">
        <v>193</v>
      </c>
      <c r="K159" t="s">
        <v>193</v>
      </c>
      <c r="L159" t="s">
        <v>193</v>
      </c>
      <c r="M159" t="s">
        <v>193</v>
      </c>
      <c r="N159" t="s">
        <v>193</v>
      </c>
      <c r="O159" t="s">
        <v>193</v>
      </c>
      <c r="P159" t="s">
        <v>193</v>
      </c>
    </row>
    <row r="160" spans="1:16" ht="12.75">
      <c r="A160" s="62" t="str">
        <f t="shared" si="2"/>
        <v>Tajikistan_General government final consumption expenditure (% of GDP)</v>
      </c>
      <c r="B160" t="s">
        <v>527</v>
      </c>
      <c r="C160" t="s">
        <v>222</v>
      </c>
      <c r="D160" t="s">
        <v>540</v>
      </c>
      <c r="E160" t="s">
        <v>541</v>
      </c>
      <c r="F160">
        <v>16.8191184997559</v>
      </c>
      <c r="G160">
        <v>16.501012802124</v>
      </c>
      <c r="H160">
        <v>9.51945114135742</v>
      </c>
      <c r="I160">
        <v>9.92644309997559</v>
      </c>
      <c r="J160">
        <v>8.29039669036865</v>
      </c>
      <c r="K160">
        <v>8.65896987915039</v>
      </c>
      <c r="L160">
        <v>8.598876953125</v>
      </c>
      <c r="M160">
        <v>8.26419639587402</v>
      </c>
      <c r="N160">
        <v>8.68216991424561</v>
      </c>
      <c r="O160">
        <v>9.15055561065674</v>
      </c>
      <c r="P160">
        <v>8.03423500061035</v>
      </c>
    </row>
    <row r="161" spans="1:16" ht="12.75">
      <c r="A161" s="62" t="str">
        <f t="shared" si="2"/>
        <v>Tajikistan_Expense (% of GDP)</v>
      </c>
      <c r="B161" t="s">
        <v>527</v>
      </c>
      <c r="C161" t="s">
        <v>222</v>
      </c>
      <c r="D161" t="s">
        <v>542</v>
      </c>
      <c r="E161" t="s">
        <v>543</v>
      </c>
      <c r="F161" t="s">
        <v>193</v>
      </c>
      <c r="G161" t="s">
        <v>193</v>
      </c>
      <c r="H161">
        <v>11.3598148863044</v>
      </c>
      <c r="I161">
        <v>10.0079327079102</v>
      </c>
      <c r="J161">
        <v>8.95503304411391</v>
      </c>
      <c r="K161">
        <v>9.48154509370097</v>
      </c>
      <c r="L161" t="s">
        <v>193</v>
      </c>
      <c r="M161">
        <v>11.1683596282006</v>
      </c>
      <c r="N161">
        <v>13.7476542241876</v>
      </c>
      <c r="O161" t="s">
        <v>193</v>
      </c>
      <c r="P161" t="s">
        <v>193</v>
      </c>
    </row>
    <row r="162" spans="1:16" ht="12.75">
      <c r="A162" s="62" t="str">
        <f t="shared" si="2"/>
        <v>Thailand_General government final consumption expenditure (% of GDP)</v>
      </c>
      <c r="B162" t="s">
        <v>528</v>
      </c>
      <c r="C162" t="s">
        <v>231</v>
      </c>
      <c r="D162" t="s">
        <v>540</v>
      </c>
      <c r="E162" t="s">
        <v>541</v>
      </c>
      <c r="F162">
        <v>10.1824293136597</v>
      </c>
      <c r="G162">
        <v>10.072772026062</v>
      </c>
      <c r="H162">
        <v>11.0601291656494</v>
      </c>
      <c r="I162">
        <v>11.4951887130737</v>
      </c>
      <c r="J162">
        <v>11.3312511444092</v>
      </c>
      <c r="K162">
        <v>11.32008934021</v>
      </c>
      <c r="L162">
        <v>11.0792617797852</v>
      </c>
      <c r="M162">
        <v>10.7353639602661</v>
      </c>
      <c r="N162">
        <v>11.1144990921021</v>
      </c>
      <c r="O162">
        <v>11.8350057601929</v>
      </c>
      <c r="P162">
        <v>8.75399398803711</v>
      </c>
    </row>
    <row r="163" spans="1:16" ht="12.75">
      <c r="A163" s="62" t="str">
        <f t="shared" si="2"/>
        <v>Thailand_Expense (% of GDP)</v>
      </c>
      <c r="B163" t="s">
        <v>528</v>
      </c>
      <c r="C163" t="s">
        <v>231</v>
      </c>
      <c r="D163" t="s">
        <v>542</v>
      </c>
      <c r="E163" t="s">
        <v>543</v>
      </c>
      <c r="F163" t="s">
        <v>193</v>
      </c>
      <c r="G163" t="s">
        <v>193</v>
      </c>
      <c r="H163" t="s">
        <v>193</v>
      </c>
      <c r="I163" t="s">
        <v>193</v>
      </c>
      <c r="J163" t="s">
        <v>193</v>
      </c>
      <c r="K163" t="s">
        <v>193</v>
      </c>
      <c r="L163" t="s">
        <v>193</v>
      </c>
      <c r="M163">
        <v>15.8583230384953</v>
      </c>
      <c r="N163">
        <v>16.6001866961914</v>
      </c>
      <c r="O163">
        <v>16.3073413836979</v>
      </c>
      <c r="P163" t="s">
        <v>193</v>
      </c>
    </row>
    <row r="164" spans="1:16" ht="12.75">
      <c r="A164" s="62" t="str">
        <f t="shared" si="2"/>
        <v>Tunisia_General government final consumption expenditure (% of GDP)</v>
      </c>
      <c r="B164" t="s">
        <v>529</v>
      </c>
      <c r="C164" t="s">
        <v>202</v>
      </c>
      <c r="D164" t="s">
        <v>540</v>
      </c>
      <c r="E164" t="s">
        <v>541</v>
      </c>
      <c r="F164">
        <v>15.5509986877441</v>
      </c>
      <c r="G164">
        <v>15.7693004608154</v>
      </c>
      <c r="H164">
        <v>15.6484508514404</v>
      </c>
      <c r="I164">
        <v>15.5478363037109</v>
      </c>
      <c r="J164">
        <v>15.5593242645264</v>
      </c>
      <c r="K164">
        <v>15.5977783203125</v>
      </c>
      <c r="L164">
        <v>15.8679714202881</v>
      </c>
      <c r="M164">
        <v>15.7034387588501</v>
      </c>
      <c r="N164">
        <v>15.4274301528931</v>
      </c>
      <c r="O164">
        <v>15.5165138244629</v>
      </c>
      <c r="P164">
        <v>13.7161560058594</v>
      </c>
    </row>
    <row r="165" spans="1:16" ht="12.75">
      <c r="A165" s="62" t="str">
        <f t="shared" si="2"/>
        <v>Tunisia_Expense (% of GDP)</v>
      </c>
      <c r="B165" t="s">
        <v>529</v>
      </c>
      <c r="C165" t="s">
        <v>202</v>
      </c>
      <c r="D165" t="s">
        <v>542</v>
      </c>
      <c r="E165" t="s">
        <v>543</v>
      </c>
      <c r="F165">
        <v>28.016447257473</v>
      </c>
      <c r="G165">
        <v>27.5822804048608</v>
      </c>
      <c r="H165">
        <v>27.4167019903927</v>
      </c>
      <c r="I165">
        <v>27.5081463056626</v>
      </c>
      <c r="J165">
        <v>27.6335878614185</v>
      </c>
      <c r="K165">
        <v>27.4139095788244</v>
      </c>
      <c r="L165">
        <v>28.223020709071</v>
      </c>
      <c r="M165">
        <v>27.8677120510737</v>
      </c>
      <c r="N165">
        <v>28.5737113237241</v>
      </c>
      <c r="O165">
        <v>29.4683385880277</v>
      </c>
      <c r="P165">
        <v>28.4879042189704</v>
      </c>
    </row>
    <row r="166" spans="1:16" ht="12.75">
      <c r="A166" s="62" t="str">
        <f t="shared" si="2"/>
        <v>Turkey_General government final consumption expenditure (% of GDP)</v>
      </c>
      <c r="B166" t="s">
        <v>530</v>
      </c>
      <c r="C166" t="s">
        <v>223</v>
      </c>
      <c r="D166" t="s">
        <v>540</v>
      </c>
      <c r="E166" t="s">
        <v>541</v>
      </c>
      <c r="F166">
        <v>11.5707731246948</v>
      </c>
      <c r="G166">
        <v>12.259391784668</v>
      </c>
      <c r="H166">
        <v>12.7003784179688</v>
      </c>
      <c r="I166">
        <v>15.1749620437622</v>
      </c>
      <c r="J166">
        <v>14.0780715942383</v>
      </c>
      <c r="K166">
        <v>14.2396783828735</v>
      </c>
      <c r="L166">
        <v>13.9501361846924</v>
      </c>
      <c r="M166">
        <v>13.6213312149048</v>
      </c>
      <c r="N166">
        <v>13.1879138946533</v>
      </c>
      <c r="O166">
        <v>13.065055847168</v>
      </c>
      <c r="P166">
        <v>12.065146446228</v>
      </c>
    </row>
    <row r="167" spans="1:16" ht="12.75">
      <c r="A167" s="62" t="str">
        <f t="shared" si="2"/>
        <v>Turkey_Expense (% of GDP)</v>
      </c>
      <c r="B167" t="s">
        <v>530</v>
      </c>
      <c r="C167" t="s">
        <v>223</v>
      </c>
      <c r="D167" t="s">
        <v>542</v>
      </c>
      <c r="E167" t="s">
        <v>543</v>
      </c>
      <c r="F167">
        <v>23.4038121757857</v>
      </c>
      <c r="G167">
        <v>25.7760208714547</v>
      </c>
      <c r="H167">
        <v>28.4369595057487</v>
      </c>
      <c r="I167">
        <v>33.8575047964007</v>
      </c>
      <c r="J167">
        <v>35.2459272938206</v>
      </c>
      <c r="K167">
        <v>44.8541472432747</v>
      </c>
      <c r="L167" t="s">
        <v>193</v>
      </c>
      <c r="M167" t="s">
        <v>193</v>
      </c>
      <c r="N167" t="s">
        <v>193</v>
      </c>
      <c r="O167" t="s">
        <v>193</v>
      </c>
      <c r="P167" t="s">
        <v>193</v>
      </c>
    </row>
    <row r="168" spans="1:16" ht="12.75">
      <c r="A168" s="62" t="str">
        <f t="shared" si="2"/>
        <v>Uruguay_General government final consumption expenditure (% of GDP)</v>
      </c>
      <c r="B168" t="s">
        <v>531</v>
      </c>
      <c r="C168" t="s">
        <v>257</v>
      </c>
      <c r="D168" t="s">
        <v>540</v>
      </c>
      <c r="E168" t="s">
        <v>541</v>
      </c>
      <c r="F168">
        <v>12.8109855651855</v>
      </c>
      <c r="G168">
        <v>12.3574514389038</v>
      </c>
      <c r="H168">
        <v>12.5314054489136</v>
      </c>
      <c r="I168">
        <v>13.0177621841431</v>
      </c>
      <c r="J168">
        <v>13.1959028244019</v>
      </c>
      <c r="K168">
        <v>13.6875696182251</v>
      </c>
      <c r="L168">
        <v>12.8835763931274</v>
      </c>
      <c r="M168">
        <v>11.3512210845947</v>
      </c>
      <c r="N168">
        <v>10.8439569473267</v>
      </c>
      <c r="O168">
        <v>11.2864799499512</v>
      </c>
      <c r="P168">
        <v>11.3446397781372</v>
      </c>
    </row>
    <row r="169" spans="1:16" ht="12.75">
      <c r="A169" s="62" t="str">
        <f t="shared" si="2"/>
        <v>Uruguay_Expense (% of GDP)</v>
      </c>
      <c r="B169" t="s">
        <v>531</v>
      </c>
      <c r="C169" t="s">
        <v>257</v>
      </c>
      <c r="D169" t="s">
        <v>542</v>
      </c>
      <c r="E169" t="s">
        <v>543</v>
      </c>
      <c r="F169">
        <v>27.8050537075623</v>
      </c>
      <c r="G169">
        <v>29.0627474545307</v>
      </c>
      <c r="H169">
        <v>29.5965961672076</v>
      </c>
      <c r="I169">
        <v>30.3247367007703</v>
      </c>
      <c r="J169">
        <v>30.1698905152009</v>
      </c>
      <c r="K169">
        <v>30.7054790869281</v>
      </c>
      <c r="L169">
        <v>30.9121185775249</v>
      </c>
      <c r="M169">
        <v>30.044917686917</v>
      </c>
      <c r="N169">
        <v>27.5378305234008</v>
      </c>
      <c r="O169">
        <v>27.7529909045805</v>
      </c>
      <c r="P169" t="s">
        <v>193</v>
      </c>
    </row>
    <row r="170" spans="1:16" ht="12.75">
      <c r="A170" s="62" t="str">
        <f t="shared" si="2"/>
        <v>Uzbekistan_General government final consumption expenditure (% of GDP)</v>
      </c>
      <c r="B170" t="s">
        <v>532</v>
      </c>
      <c r="C170" t="s">
        <v>225</v>
      </c>
      <c r="D170" t="s">
        <v>540</v>
      </c>
      <c r="E170" t="s">
        <v>541</v>
      </c>
      <c r="F170">
        <v>22.1061134338379</v>
      </c>
      <c r="G170">
        <v>20.4991760253906</v>
      </c>
      <c r="H170">
        <v>20.5420589447021</v>
      </c>
      <c r="I170">
        <v>20.6354274749756</v>
      </c>
      <c r="J170">
        <v>18.6531162261963</v>
      </c>
      <c r="K170">
        <v>18.4113807678223</v>
      </c>
      <c r="L170">
        <v>17.9746570587158</v>
      </c>
      <c r="M170">
        <v>17.7999992370605</v>
      </c>
      <c r="N170">
        <v>16.2000007629395</v>
      </c>
      <c r="O170">
        <v>15.6656589508057</v>
      </c>
      <c r="P170">
        <v>15.4323501586914</v>
      </c>
    </row>
    <row r="171" spans="1:16" ht="12.75">
      <c r="A171" s="62" t="str">
        <f t="shared" si="2"/>
        <v>Uzbekistan_Expense (% of GDP)</v>
      </c>
      <c r="B171" t="s">
        <v>532</v>
      </c>
      <c r="C171" t="s">
        <v>225</v>
      </c>
      <c r="D171" t="s">
        <v>542</v>
      </c>
      <c r="E171" t="s">
        <v>543</v>
      </c>
      <c r="F171" t="s">
        <v>193</v>
      </c>
      <c r="G171" t="s">
        <v>193</v>
      </c>
      <c r="H171" t="s">
        <v>193</v>
      </c>
      <c r="I171" t="s">
        <v>193</v>
      </c>
      <c r="J171" t="s">
        <v>193</v>
      </c>
      <c r="K171" t="s">
        <v>193</v>
      </c>
      <c r="L171" t="s">
        <v>193</v>
      </c>
      <c r="M171" t="s">
        <v>193</v>
      </c>
      <c r="N171" t="s">
        <v>193</v>
      </c>
      <c r="O171" t="s">
        <v>193</v>
      </c>
      <c r="P171" t="s">
        <v>193</v>
      </c>
    </row>
    <row r="172" spans="1:16" ht="12.75">
      <c r="A172" s="62" t="str">
        <f t="shared" si="2"/>
        <v>Venezuela, RB_General government final consumption expenditure (% of GDP)</v>
      </c>
      <c r="B172" t="s">
        <v>533</v>
      </c>
      <c r="C172" t="s">
        <v>534</v>
      </c>
      <c r="D172" t="s">
        <v>540</v>
      </c>
      <c r="E172" t="s">
        <v>541</v>
      </c>
      <c r="F172">
        <v>5.01276540756226</v>
      </c>
      <c r="G172">
        <v>13.5321922302246</v>
      </c>
      <c r="H172">
        <v>13.4677152633667</v>
      </c>
      <c r="I172">
        <v>12.3169727325439</v>
      </c>
      <c r="J172">
        <v>12.4497842788696</v>
      </c>
      <c r="K172">
        <v>14.2372388839722</v>
      </c>
      <c r="L172">
        <v>13.0073547363281</v>
      </c>
      <c r="M172">
        <v>12.879825592041</v>
      </c>
      <c r="N172">
        <v>12.3344221115112</v>
      </c>
      <c r="O172">
        <v>10.9414749145508</v>
      </c>
      <c r="P172">
        <v>11.2026424407959</v>
      </c>
    </row>
    <row r="173" spans="1:16" ht="12.75">
      <c r="A173" s="62" t="str">
        <f t="shared" si="2"/>
        <v>Venezuela, RB_Expense (% of GDP)</v>
      </c>
      <c r="B173" t="s">
        <v>533</v>
      </c>
      <c r="C173" t="s">
        <v>534</v>
      </c>
      <c r="D173" t="s">
        <v>542</v>
      </c>
      <c r="E173" t="s">
        <v>543</v>
      </c>
      <c r="F173">
        <v>16.8241902485801</v>
      </c>
      <c r="G173">
        <v>20.3454585382702</v>
      </c>
      <c r="H173">
        <v>20.990289548611</v>
      </c>
      <c r="I173">
        <v>19.9729397036603</v>
      </c>
      <c r="J173">
        <v>21.6386492762557</v>
      </c>
      <c r="K173">
        <v>24.0826275669443</v>
      </c>
      <c r="L173">
        <v>23.3215249004674</v>
      </c>
      <c r="M173">
        <v>25.1552192657094</v>
      </c>
      <c r="N173">
        <v>24.7070513150054</v>
      </c>
      <c r="O173">
        <v>25.1857621383772</v>
      </c>
      <c r="P173" t="s">
        <v>193</v>
      </c>
    </row>
    <row r="174" spans="1:16" ht="12.75">
      <c r="A174" s="62" t="str">
        <f t="shared" si="2"/>
        <v>Vietnam_General government final consumption expenditure (% of GDP)</v>
      </c>
      <c r="B174" t="s">
        <v>535</v>
      </c>
      <c r="C174" t="s">
        <v>232</v>
      </c>
      <c r="D174" t="s">
        <v>540</v>
      </c>
      <c r="E174" t="s">
        <v>541</v>
      </c>
      <c r="F174">
        <v>8.35257148742676</v>
      </c>
      <c r="G174">
        <v>8.13078117370605</v>
      </c>
      <c r="H174">
        <v>7.62374067306519</v>
      </c>
      <c r="I174">
        <v>6.78523397445679</v>
      </c>
      <c r="J174">
        <v>6.41826295852661</v>
      </c>
      <c r="K174">
        <v>6.32938194274902</v>
      </c>
      <c r="L174">
        <v>6.23329210281372</v>
      </c>
      <c r="M174">
        <v>6.32006549835205</v>
      </c>
      <c r="N174">
        <v>6.41605091094971</v>
      </c>
      <c r="O174">
        <v>6.15482139587402</v>
      </c>
      <c r="P174" t="s">
        <v>193</v>
      </c>
    </row>
    <row r="175" spans="1:16" ht="12.75">
      <c r="A175" s="62" t="str">
        <f t="shared" si="2"/>
        <v>Vietnam_Expense (% of GDP)</v>
      </c>
      <c r="B175" t="s">
        <v>535</v>
      </c>
      <c r="C175" t="s">
        <v>232</v>
      </c>
      <c r="D175" t="s">
        <v>542</v>
      </c>
      <c r="E175" t="s">
        <v>543</v>
      </c>
      <c r="F175" t="s">
        <v>193</v>
      </c>
      <c r="G175" t="s">
        <v>193</v>
      </c>
      <c r="H175" t="s">
        <v>193</v>
      </c>
      <c r="I175" t="s">
        <v>193</v>
      </c>
      <c r="J175" t="s">
        <v>193</v>
      </c>
      <c r="K175" t="s">
        <v>193</v>
      </c>
      <c r="L175" t="s">
        <v>193</v>
      </c>
      <c r="M175" t="s">
        <v>193</v>
      </c>
      <c r="N175" t="s">
        <v>193</v>
      </c>
      <c r="O175" t="s">
        <v>193</v>
      </c>
      <c r="P175" t="s">
        <v>193</v>
      </c>
    </row>
    <row r="176" spans="1:16" ht="12.75">
      <c r="A176" s="62" t="str">
        <f t="shared" si="2"/>
        <v>West Bank and Gaza_General government final consumption expenditure (% of GDP)</v>
      </c>
      <c r="B176" t="s">
        <v>536</v>
      </c>
      <c r="C176" t="s">
        <v>195</v>
      </c>
      <c r="D176" t="s">
        <v>540</v>
      </c>
      <c r="E176" t="s">
        <v>541</v>
      </c>
      <c r="F176">
        <v>22.0769577026367</v>
      </c>
      <c r="G176">
        <v>21.9391613006592</v>
      </c>
      <c r="H176">
        <v>22.8025245666504</v>
      </c>
      <c r="I176">
        <v>23.7562961578369</v>
      </c>
      <c r="J176">
        <v>27.0287990570068</v>
      </c>
      <c r="K176">
        <v>28.9332866668701</v>
      </c>
      <c r="L176">
        <v>30.5365123748779</v>
      </c>
      <c r="M176">
        <v>29.4611034393311</v>
      </c>
      <c r="N176">
        <v>31.4116039276123</v>
      </c>
      <c r="O176">
        <v>32.5713005065918</v>
      </c>
      <c r="P176">
        <v>32.0475196838379</v>
      </c>
    </row>
    <row r="177" spans="1:16" ht="12.75">
      <c r="A177" s="62" t="str">
        <f t="shared" si="2"/>
        <v>West Bank and Gaza_Expense (% of GDP)</v>
      </c>
      <c r="B177" t="s">
        <v>536</v>
      </c>
      <c r="C177" t="s">
        <v>195</v>
      </c>
      <c r="D177" t="s">
        <v>542</v>
      </c>
      <c r="E177" t="s">
        <v>543</v>
      </c>
      <c r="F177" t="s">
        <v>193</v>
      </c>
      <c r="G177" t="s">
        <v>193</v>
      </c>
      <c r="H177" t="s">
        <v>193</v>
      </c>
      <c r="I177" t="s">
        <v>193</v>
      </c>
      <c r="J177" t="s">
        <v>193</v>
      </c>
      <c r="K177" t="s">
        <v>193</v>
      </c>
      <c r="L177" t="s">
        <v>193</v>
      </c>
      <c r="M177" t="s">
        <v>193</v>
      </c>
      <c r="N177" t="s">
        <v>193</v>
      </c>
      <c r="O177" t="s">
        <v>193</v>
      </c>
      <c r="P177" t="s">
        <v>193</v>
      </c>
    </row>
    <row r="178" spans="1:16" ht="12.75">
      <c r="A178" s="62" t="str">
        <f t="shared" si="2"/>
        <v>Yemen, Rep._General government final consumption expenditure (% of GDP)</v>
      </c>
      <c r="B178" t="s">
        <v>537</v>
      </c>
      <c r="C178" t="s">
        <v>538</v>
      </c>
      <c r="D178" t="s">
        <v>540</v>
      </c>
      <c r="E178" t="s">
        <v>541</v>
      </c>
      <c r="F178">
        <v>13.1219635009766</v>
      </c>
      <c r="G178">
        <v>13.0281343460083</v>
      </c>
      <c r="H178">
        <v>14.503945350647</v>
      </c>
      <c r="I178">
        <v>13.4384918212891</v>
      </c>
      <c r="J178">
        <v>14.0765867233276</v>
      </c>
      <c r="K178">
        <v>15.6905717849731</v>
      </c>
      <c r="L178">
        <v>16.7151527404785</v>
      </c>
      <c r="M178">
        <v>16.7151527404785</v>
      </c>
      <c r="N178" t="s">
        <v>193</v>
      </c>
      <c r="O178" t="s">
        <v>193</v>
      </c>
      <c r="P178" t="s">
        <v>193</v>
      </c>
    </row>
    <row r="179" spans="1:16" ht="12.75">
      <c r="A179" s="62" t="str">
        <f t="shared" si="2"/>
        <v>Yemen, Rep._Expense (% of GDP)</v>
      </c>
      <c r="B179" t="s">
        <v>537</v>
      </c>
      <c r="C179" t="s">
        <v>538</v>
      </c>
      <c r="D179" t="s">
        <v>542</v>
      </c>
      <c r="E179" t="s">
        <v>543</v>
      </c>
      <c r="F179">
        <v>24.1176556982297</v>
      </c>
      <c r="G179">
        <v>26.7469709088743</v>
      </c>
      <c r="H179">
        <v>29.644104426129</v>
      </c>
      <c r="I179">
        <v>22.149824576836</v>
      </c>
      <c r="J179" t="s">
        <v>193</v>
      </c>
      <c r="K179" t="s">
        <v>193</v>
      </c>
      <c r="L179" t="s">
        <v>193</v>
      </c>
      <c r="M179" t="s">
        <v>193</v>
      </c>
      <c r="N179" t="s">
        <v>193</v>
      </c>
      <c r="O179" t="s">
        <v>193</v>
      </c>
      <c r="P179" t="s">
        <v>193</v>
      </c>
    </row>
    <row r="180" spans="1:16" ht="12.75">
      <c r="A180" s="62" t="str">
        <f t="shared" si="2"/>
        <v>Ukraine_General government final consumption expenditure (% of GDP)</v>
      </c>
      <c r="B180" t="s">
        <v>544</v>
      </c>
      <c r="C180" t="s">
        <v>224</v>
      </c>
      <c r="D180" t="s">
        <v>540</v>
      </c>
      <c r="E180" t="s">
        <v>541</v>
      </c>
      <c r="F180">
        <v>21.7593441009521</v>
      </c>
      <c r="G180">
        <v>27.3989181518555</v>
      </c>
      <c r="H180">
        <v>24.6079158782959</v>
      </c>
      <c r="I180">
        <v>19.8295021057129</v>
      </c>
      <c r="J180">
        <v>20.9184455871582</v>
      </c>
      <c r="K180">
        <v>19.6224098205566</v>
      </c>
      <c r="L180">
        <v>18.3955535888672</v>
      </c>
      <c r="M180">
        <v>19.0129566192627</v>
      </c>
      <c r="N180">
        <v>18.0931034088135</v>
      </c>
      <c r="O180">
        <v>18.6353225708008</v>
      </c>
      <c r="P180">
        <v>14.3212594985962</v>
      </c>
    </row>
    <row r="181" spans="1:16" ht="12.75">
      <c r="A181" s="62" t="str">
        <f t="shared" si="2"/>
        <v>Ukraine_Expense (% of GDP)</v>
      </c>
      <c r="B181" t="s">
        <v>544</v>
      </c>
      <c r="C181" t="s">
        <v>224</v>
      </c>
      <c r="D181" t="s">
        <v>542</v>
      </c>
      <c r="E181" t="s">
        <v>543</v>
      </c>
      <c r="F181" t="s">
        <v>193</v>
      </c>
      <c r="G181" t="s">
        <v>193</v>
      </c>
      <c r="H181" t="s">
        <v>193</v>
      </c>
      <c r="I181">
        <v>25.1706500880466</v>
      </c>
      <c r="J181">
        <v>26.8720527448631</v>
      </c>
      <c r="K181">
        <v>27.6153572580359</v>
      </c>
      <c r="L181">
        <v>28.9949277320159</v>
      </c>
      <c r="M181">
        <v>29.7138255791008</v>
      </c>
      <c r="N181">
        <v>33.0122218150868</v>
      </c>
      <c r="O181">
        <v>36.0454361517012</v>
      </c>
      <c r="P181" t="s">
        <v>193</v>
      </c>
    </row>
  </sheetData>
  <sheetProtection/>
  <printOptions/>
  <pageMargins left="0.787401575" right="0.787401575" top="0.984251969" bottom="0.984251969" header="0.5" footer="0.5"/>
  <pageSetup orientation="portrait" paperSize="9"/>
</worksheet>
</file>

<file path=xl/worksheets/sheet6.xml><?xml version="1.0" encoding="utf-8"?>
<worksheet xmlns="http://schemas.openxmlformats.org/spreadsheetml/2006/main" xmlns:r="http://schemas.openxmlformats.org/officeDocument/2006/relationships">
  <dimension ref="A1:P1409"/>
  <sheetViews>
    <sheetView zoomScalePageLayoutView="0" workbookViewId="0" topLeftCell="A1">
      <selection activeCell="E2" sqref="E2"/>
    </sheetView>
  </sheetViews>
  <sheetFormatPr defaultColWidth="8.8515625" defaultRowHeight="12.75"/>
  <cols>
    <col min="1" max="1" width="18.8515625" style="0" customWidth="1"/>
    <col min="2" max="2" width="6.28125" style="0" customWidth="1"/>
    <col min="3" max="3" width="12.00390625" style="0" customWidth="1"/>
    <col min="4" max="4" width="8.8515625" style="0" customWidth="1"/>
    <col min="5" max="5" width="16.421875" style="0" customWidth="1"/>
  </cols>
  <sheetData>
    <row r="1" spans="1:16" ht="12.75">
      <c r="A1" t="s">
        <v>539</v>
      </c>
      <c r="B1" t="s">
        <v>403</v>
      </c>
      <c r="C1" t="s">
        <v>404</v>
      </c>
      <c r="D1" t="s">
        <v>405</v>
      </c>
      <c r="E1" t="s">
        <v>406</v>
      </c>
      <c r="F1">
        <v>1996</v>
      </c>
      <c r="G1">
        <v>1997</v>
      </c>
      <c r="H1">
        <v>1998</v>
      </c>
      <c r="I1">
        <v>1999</v>
      </c>
      <c r="J1">
        <v>2000</v>
      </c>
      <c r="K1">
        <v>2001</v>
      </c>
      <c r="L1">
        <v>2002</v>
      </c>
      <c r="M1">
        <v>2003</v>
      </c>
      <c r="N1">
        <v>2004</v>
      </c>
      <c r="O1">
        <v>2005</v>
      </c>
      <c r="P1">
        <v>2006</v>
      </c>
    </row>
    <row r="2" spans="1:16" ht="12.75">
      <c r="A2" s="62" t="str">
        <f aca="true" t="shared" si="0" ref="A2:A50">C2&amp;"_"&amp;E2</f>
        <v>Albania_Poverty headcount ratio at national poverty line (% of population)</v>
      </c>
      <c r="B2" t="s">
        <v>440</v>
      </c>
      <c r="C2" t="s">
        <v>203</v>
      </c>
      <c r="D2" t="s">
        <v>408</v>
      </c>
      <c r="E2" t="s">
        <v>409</v>
      </c>
      <c r="F2" t="s">
        <v>193</v>
      </c>
      <c r="G2" t="s">
        <v>193</v>
      </c>
      <c r="H2" t="s">
        <v>193</v>
      </c>
      <c r="I2" t="s">
        <v>193</v>
      </c>
      <c r="J2" t="s">
        <v>193</v>
      </c>
      <c r="K2" t="s">
        <v>193</v>
      </c>
      <c r="L2">
        <v>25.4</v>
      </c>
      <c r="M2" t="s">
        <v>193</v>
      </c>
      <c r="N2" t="s">
        <v>193</v>
      </c>
      <c r="O2" t="s">
        <v>193</v>
      </c>
      <c r="P2" t="s">
        <v>193</v>
      </c>
    </row>
    <row r="3" spans="1:16" ht="12.75">
      <c r="A3" s="62" t="str">
        <f t="shared" si="0"/>
        <v>Albania_Poverty headcount ratio at $2 a day (PPP) (% of population)</v>
      </c>
      <c r="B3" t="s">
        <v>440</v>
      </c>
      <c r="C3" t="s">
        <v>203</v>
      </c>
      <c r="D3" t="s">
        <v>410</v>
      </c>
      <c r="E3" t="s">
        <v>411</v>
      </c>
      <c r="F3" t="s">
        <v>193</v>
      </c>
      <c r="G3">
        <v>11.28</v>
      </c>
      <c r="H3" t="s">
        <v>193</v>
      </c>
      <c r="I3" t="s">
        <v>193</v>
      </c>
      <c r="J3" t="s">
        <v>193</v>
      </c>
      <c r="K3" t="s">
        <v>193</v>
      </c>
      <c r="L3">
        <v>11.83</v>
      </c>
      <c r="M3" t="s">
        <v>193</v>
      </c>
      <c r="N3">
        <v>9.987</v>
      </c>
      <c r="O3" t="s">
        <v>193</v>
      </c>
      <c r="P3" t="s">
        <v>193</v>
      </c>
    </row>
    <row r="4" spans="1:16" ht="12.75">
      <c r="A4" s="62" t="str">
        <f t="shared" si="0"/>
        <v>Albania_Poverty headcount ratio at $1 a day (PPP) (% of population)</v>
      </c>
      <c r="B4" t="s">
        <v>440</v>
      </c>
      <c r="C4" t="s">
        <v>203</v>
      </c>
      <c r="D4" t="s">
        <v>412</v>
      </c>
      <c r="E4" t="s">
        <v>413</v>
      </c>
      <c r="F4" t="s">
        <v>193</v>
      </c>
      <c r="G4">
        <v>2</v>
      </c>
      <c r="H4" t="s">
        <v>193</v>
      </c>
      <c r="I4" t="s">
        <v>193</v>
      </c>
      <c r="J4" t="s">
        <v>193</v>
      </c>
      <c r="K4" t="s">
        <v>193</v>
      </c>
      <c r="L4">
        <v>2</v>
      </c>
      <c r="M4" t="s">
        <v>193</v>
      </c>
      <c r="N4">
        <v>2</v>
      </c>
      <c r="O4" t="s">
        <v>193</v>
      </c>
      <c r="P4" t="s">
        <v>193</v>
      </c>
    </row>
    <row r="5" spans="1:16" ht="12.75">
      <c r="A5" s="62" t="str">
        <f t="shared" si="0"/>
        <v>Albania_Poverty gap at $1 a day (PPP) (%)</v>
      </c>
      <c r="B5" t="s">
        <v>440</v>
      </c>
      <c r="C5" t="s">
        <v>203</v>
      </c>
      <c r="D5" t="s">
        <v>414</v>
      </c>
      <c r="E5" t="s">
        <v>415</v>
      </c>
      <c r="F5" t="s">
        <v>193</v>
      </c>
      <c r="G5">
        <v>0.5</v>
      </c>
      <c r="H5" t="s">
        <v>193</v>
      </c>
      <c r="I5" t="s">
        <v>193</v>
      </c>
      <c r="J5" t="s">
        <v>193</v>
      </c>
      <c r="K5" t="s">
        <v>193</v>
      </c>
      <c r="L5">
        <v>0.5</v>
      </c>
      <c r="M5" t="s">
        <v>193</v>
      </c>
      <c r="N5">
        <v>0.5</v>
      </c>
      <c r="O5" t="s">
        <v>193</v>
      </c>
      <c r="P5" t="s">
        <v>193</v>
      </c>
    </row>
    <row r="6" spans="1:16" ht="12.75">
      <c r="A6" s="62" t="str">
        <f t="shared" si="0"/>
        <v>Albania_Poverty gap at $2 a day (PPP) (%)</v>
      </c>
      <c r="B6" t="s">
        <v>440</v>
      </c>
      <c r="C6" t="s">
        <v>203</v>
      </c>
      <c r="D6" t="s">
        <v>416</v>
      </c>
      <c r="E6" t="s">
        <v>417</v>
      </c>
      <c r="F6" t="s">
        <v>193</v>
      </c>
      <c r="G6">
        <v>1.84</v>
      </c>
      <c r="H6" t="s">
        <v>193</v>
      </c>
      <c r="I6" t="s">
        <v>193</v>
      </c>
      <c r="J6" t="s">
        <v>193</v>
      </c>
      <c r="K6" t="s">
        <v>193</v>
      </c>
      <c r="L6">
        <v>2.04</v>
      </c>
      <c r="M6" t="s">
        <v>193</v>
      </c>
      <c r="N6">
        <v>1.62</v>
      </c>
      <c r="O6" t="s">
        <v>193</v>
      </c>
      <c r="P6" t="s">
        <v>193</v>
      </c>
    </row>
    <row r="7" spans="1:16" ht="12.75">
      <c r="A7" s="62" t="str">
        <f t="shared" si="0"/>
        <v>Albania_Population, total</v>
      </c>
      <c r="B7" t="s">
        <v>440</v>
      </c>
      <c r="C7" t="s">
        <v>203</v>
      </c>
      <c r="D7" t="s">
        <v>418</v>
      </c>
      <c r="E7" t="s">
        <v>419</v>
      </c>
      <c r="F7">
        <v>3103716</v>
      </c>
      <c r="G7">
        <v>3082670</v>
      </c>
      <c r="H7">
        <v>3069704</v>
      </c>
      <c r="I7">
        <v>3063183</v>
      </c>
      <c r="J7">
        <v>3061775</v>
      </c>
      <c r="K7">
        <v>3066367</v>
      </c>
      <c r="L7">
        <v>3077664</v>
      </c>
      <c r="M7">
        <v>3093700</v>
      </c>
      <c r="N7">
        <v>3111720</v>
      </c>
      <c r="O7">
        <v>3129678</v>
      </c>
      <c r="P7">
        <v>3137503.17129996</v>
      </c>
    </row>
    <row r="8" spans="1:16" ht="12.75">
      <c r="A8" s="62" t="str">
        <f t="shared" si="0"/>
        <v>Albania_Public spending on education, total (% of GDP)</v>
      </c>
      <c r="B8" t="s">
        <v>440</v>
      </c>
      <c r="C8" t="s">
        <v>203</v>
      </c>
      <c r="D8" t="s">
        <v>420</v>
      </c>
      <c r="E8" t="s">
        <v>421</v>
      </c>
      <c r="F8" t="s">
        <v>193</v>
      </c>
      <c r="G8" t="s">
        <v>193</v>
      </c>
      <c r="H8" t="s">
        <v>193</v>
      </c>
      <c r="I8" t="s">
        <v>193</v>
      </c>
      <c r="J8" t="s">
        <v>193</v>
      </c>
      <c r="K8" t="s">
        <v>193</v>
      </c>
      <c r="L8">
        <v>2.86624306463639</v>
      </c>
      <c r="M8" t="s">
        <v>193</v>
      </c>
      <c r="N8" t="s">
        <v>193</v>
      </c>
      <c r="O8" t="s">
        <v>193</v>
      </c>
      <c r="P8" t="s">
        <v>193</v>
      </c>
    </row>
    <row r="9" spans="1:16" ht="12.75">
      <c r="A9" s="62" t="str">
        <f t="shared" si="0"/>
        <v>Albania_Public spending on education, total (% of government expenditure)</v>
      </c>
      <c r="B9" t="s">
        <v>440</v>
      </c>
      <c r="C9" t="s">
        <v>203</v>
      </c>
      <c r="D9" t="s">
        <v>422</v>
      </c>
      <c r="E9" t="s">
        <v>423</v>
      </c>
      <c r="F9" t="s">
        <v>193</v>
      </c>
      <c r="G9" t="s">
        <v>193</v>
      </c>
      <c r="H9" t="s">
        <v>193</v>
      </c>
      <c r="I9" t="s">
        <v>193</v>
      </c>
      <c r="J9" t="s">
        <v>193</v>
      </c>
      <c r="K9" t="s">
        <v>193</v>
      </c>
      <c r="L9">
        <v>8.43493638209372</v>
      </c>
      <c r="M9" t="s">
        <v>193</v>
      </c>
      <c r="N9" t="s">
        <v>193</v>
      </c>
      <c r="O9" t="s">
        <v>193</v>
      </c>
      <c r="P9" t="s">
        <v>193</v>
      </c>
    </row>
    <row r="10" spans="1:16" ht="12.75">
      <c r="A10" s="62" t="str">
        <f t="shared" si="0"/>
        <v>Albania_Health expenditure, public (% of total health expenditure)</v>
      </c>
      <c r="B10" t="s">
        <v>440</v>
      </c>
      <c r="C10" t="s">
        <v>203</v>
      </c>
      <c r="D10" t="s">
        <v>424</v>
      </c>
      <c r="E10" t="s">
        <v>425</v>
      </c>
      <c r="F10" t="s">
        <v>193</v>
      </c>
      <c r="G10" t="s">
        <v>193</v>
      </c>
      <c r="H10" t="s">
        <v>193</v>
      </c>
      <c r="I10" t="s">
        <v>193</v>
      </c>
      <c r="J10">
        <v>39</v>
      </c>
      <c r="K10">
        <v>41.8</v>
      </c>
      <c r="L10">
        <v>40</v>
      </c>
      <c r="M10">
        <v>41.4</v>
      </c>
      <c r="N10">
        <v>44.1</v>
      </c>
      <c r="O10" t="s">
        <v>193</v>
      </c>
      <c r="P10" t="s">
        <v>193</v>
      </c>
    </row>
    <row r="11" spans="1:16" ht="12.75">
      <c r="A11" s="62" t="str">
        <f t="shared" si="0"/>
        <v>Albania_Health expenditure, public (% of GDP)</v>
      </c>
      <c r="B11" t="s">
        <v>440</v>
      </c>
      <c r="C11" t="s">
        <v>203</v>
      </c>
      <c r="D11" t="s">
        <v>426</v>
      </c>
      <c r="E11" t="s">
        <v>427</v>
      </c>
      <c r="F11" t="s">
        <v>193</v>
      </c>
      <c r="G11" t="s">
        <v>193</v>
      </c>
      <c r="H11" t="s">
        <v>193</v>
      </c>
      <c r="I11" t="s">
        <v>193</v>
      </c>
      <c r="J11">
        <v>2.457</v>
      </c>
      <c r="K11">
        <v>2.5498</v>
      </c>
      <c r="L11">
        <v>2.44</v>
      </c>
      <c r="M11">
        <v>2.6082</v>
      </c>
      <c r="N11">
        <v>2.9547</v>
      </c>
      <c r="O11" t="s">
        <v>193</v>
      </c>
      <c r="P11" t="s">
        <v>193</v>
      </c>
    </row>
    <row r="12" spans="1:16" ht="12.75">
      <c r="A12" s="62" t="str">
        <f t="shared" si="0"/>
        <v>Albania_Health expenditure, total (% of GDP)</v>
      </c>
      <c r="B12" t="s">
        <v>440</v>
      </c>
      <c r="C12" t="s">
        <v>203</v>
      </c>
      <c r="D12" t="s">
        <v>428</v>
      </c>
      <c r="E12" t="s">
        <v>429</v>
      </c>
      <c r="F12" t="s">
        <v>193</v>
      </c>
      <c r="G12" t="s">
        <v>193</v>
      </c>
      <c r="H12" t="s">
        <v>193</v>
      </c>
      <c r="I12" t="s">
        <v>193</v>
      </c>
      <c r="J12">
        <v>6.3</v>
      </c>
      <c r="K12">
        <v>6.1</v>
      </c>
      <c r="L12">
        <v>6.1</v>
      </c>
      <c r="M12">
        <v>6.3</v>
      </c>
      <c r="N12">
        <v>6.7</v>
      </c>
      <c r="O12" t="s">
        <v>193</v>
      </c>
      <c r="P12" t="s">
        <v>193</v>
      </c>
    </row>
    <row r="13" spans="1:16" ht="12.75">
      <c r="A13" s="62" t="str">
        <f t="shared" si="0"/>
        <v>Albania_GDP (current LCU)</v>
      </c>
      <c r="B13" t="s">
        <v>440</v>
      </c>
      <c r="C13" t="s">
        <v>203</v>
      </c>
      <c r="D13" t="s">
        <v>430</v>
      </c>
      <c r="E13" t="s">
        <v>431</v>
      </c>
      <c r="F13">
        <v>314878001152</v>
      </c>
      <c r="G13">
        <v>322186018816</v>
      </c>
      <c r="H13">
        <v>412326002688</v>
      </c>
      <c r="I13">
        <v>474290978816</v>
      </c>
      <c r="J13">
        <v>530907004928</v>
      </c>
      <c r="K13">
        <v>587715969024</v>
      </c>
      <c r="L13">
        <v>624717987840</v>
      </c>
      <c r="M13">
        <v>682668982272</v>
      </c>
      <c r="N13">
        <v>766379229184</v>
      </c>
      <c r="O13">
        <v>836858216448</v>
      </c>
      <c r="P13">
        <v>899699769344</v>
      </c>
    </row>
    <row r="14" spans="1:16" ht="12.75">
      <c r="A14" s="62" t="str">
        <f t="shared" si="0"/>
        <v>Albania_GDP (current US$)</v>
      </c>
      <c r="B14" t="s">
        <v>440</v>
      </c>
      <c r="C14" t="s">
        <v>203</v>
      </c>
      <c r="D14" t="s">
        <v>432</v>
      </c>
      <c r="E14" t="s">
        <v>433</v>
      </c>
      <c r="F14">
        <v>3013217792</v>
      </c>
      <c r="G14">
        <v>2196223488</v>
      </c>
      <c r="H14">
        <v>2727745536</v>
      </c>
      <c r="I14">
        <v>3434402560</v>
      </c>
      <c r="J14">
        <v>3686649344</v>
      </c>
      <c r="K14">
        <v>4091020544</v>
      </c>
      <c r="L14">
        <v>4456470528</v>
      </c>
      <c r="M14">
        <v>5617335296</v>
      </c>
      <c r="N14">
        <v>7380220928</v>
      </c>
      <c r="O14">
        <v>8380314624</v>
      </c>
      <c r="P14">
        <v>9136081920</v>
      </c>
    </row>
    <row r="15" spans="1:16" ht="12.75">
      <c r="A15" s="62" t="str">
        <f t="shared" si="0"/>
        <v>Albania_GDP per capita, PPP (current international $)</v>
      </c>
      <c r="B15" t="s">
        <v>440</v>
      </c>
      <c r="C15" t="s">
        <v>203</v>
      </c>
      <c r="D15" t="s">
        <v>434</v>
      </c>
      <c r="E15" t="s">
        <v>435</v>
      </c>
      <c r="F15">
        <v>2879.46729283188</v>
      </c>
      <c r="G15">
        <v>2646.90130660336</v>
      </c>
      <c r="H15">
        <v>3028.94067784296</v>
      </c>
      <c r="I15">
        <v>3390.2527610825</v>
      </c>
      <c r="J15">
        <v>3718.74765370423</v>
      </c>
      <c r="K15">
        <v>4068.80578999423</v>
      </c>
      <c r="L15">
        <v>4244.43514719823</v>
      </c>
      <c r="M15">
        <v>4553.94805270633</v>
      </c>
      <c r="N15">
        <v>4920.51579811476</v>
      </c>
      <c r="O15">
        <v>5317.89917944021</v>
      </c>
      <c r="P15">
        <v>5732.96123383344</v>
      </c>
    </row>
    <row r="16" spans="1:16" ht="12.75">
      <c r="A16" s="62" t="str">
        <f t="shared" si="0"/>
        <v>Albania_GDP per capita, PPP (constant 2000 international $)</v>
      </c>
      <c r="B16" t="s">
        <v>440</v>
      </c>
      <c r="C16" t="s">
        <v>203</v>
      </c>
      <c r="D16" t="s">
        <v>436</v>
      </c>
      <c r="E16" t="s">
        <v>437</v>
      </c>
      <c r="F16">
        <v>3068.32066650536</v>
      </c>
      <c r="G16">
        <v>2774.16323634175</v>
      </c>
      <c r="H16">
        <v>3139.68776765061</v>
      </c>
      <c r="I16">
        <v>3464.15536660019</v>
      </c>
      <c r="J16">
        <v>3718.74765370423</v>
      </c>
      <c r="K16">
        <v>3973.10140878871</v>
      </c>
      <c r="L16">
        <v>4073.31452577492</v>
      </c>
      <c r="M16">
        <v>4283.17630440532</v>
      </c>
      <c r="N16">
        <v>4509.61640455186</v>
      </c>
      <c r="O16">
        <v>4731.10388895203</v>
      </c>
      <c r="P16">
        <v>4955.2693389981</v>
      </c>
    </row>
    <row r="17" spans="1:16" ht="12.75">
      <c r="A17" s="62" t="str">
        <f t="shared" si="0"/>
        <v>Albania_GINI index</v>
      </c>
      <c r="B17" t="s">
        <v>440</v>
      </c>
      <c r="C17" t="s">
        <v>203</v>
      </c>
      <c r="D17" t="s">
        <v>438</v>
      </c>
      <c r="E17" t="s">
        <v>439</v>
      </c>
      <c r="F17" t="s">
        <v>193</v>
      </c>
      <c r="G17">
        <v>29.12</v>
      </c>
      <c r="H17" t="s">
        <v>193</v>
      </c>
      <c r="I17" t="s">
        <v>193</v>
      </c>
      <c r="J17" t="s">
        <v>193</v>
      </c>
      <c r="K17" t="s">
        <v>193</v>
      </c>
      <c r="L17">
        <v>28.15</v>
      </c>
      <c r="M17" t="s">
        <v>193</v>
      </c>
      <c r="N17">
        <v>31.1</v>
      </c>
      <c r="O17" t="s">
        <v>193</v>
      </c>
      <c r="P17" t="s">
        <v>193</v>
      </c>
    </row>
    <row r="18" spans="1:16" ht="12.75">
      <c r="A18" s="62" t="str">
        <f t="shared" si="0"/>
        <v>Algeria_Poverty headcount ratio at national poverty line (% of population)</v>
      </c>
      <c r="B18" t="s">
        <v>441</v>
      </c>
      <c r="C18" t="s">
        <v>196</v>
      </c>
      <c r="D18" t="s">
        <v>408</v>
      </c>
      <c r="E18" t="s">
        <v>409</v>
      </c>
      <c r="F18" t="s">
        <v>193</v>
      </c>
      <c r="G18" t="s">
        <v>193</v>
      </c>
      <c r="H18" t="s">
        <v>193</v>
      </c>
      <c r="I18" t="s">
        <v>193</v>
      </c>
      <c r="J18" t="s">
        <v>193</v>
      </c>
      <c r="K18" t="s">
        <v>193</v>
      </c>
      <c r="L18" t="s">
        <v>193</v>
      </c>
      <c r="M18" t="s">
        <v>193</v>
      </c>
      <c r="N18" t="s">
        <v>193</v>
      </c>
      <c r="O18" t="s">
        <v>193</v>
      </c>
      <c r="P18" t="s">
        <v>193</v>
      </c>
    </row>
    <row r="19" spans="1:16" ht="12.75">
      <c r="A19" s="62" t="str">
        <f t="shared" si="0"/>
        <v>Algeria_Poverty headcount ratio at $2 a day (PPP) (% of population)</v>
      </c>
      <c r="B19" t="s">
        <v>441</v>
      </c>
      <c r="C19" t="s">
        <v>196</v>
      </c>
      <c r="D19" t="s">
        <v>410</v>
      </c>
      <c r="E19" t="s">
        <v>411</v>
      </c>
      <c r="F19" t="s">
        <v>193</v>
      </c>
      <c r="G19" t="s">
        <v>193</v>
      </c>
      <c r="H19" t="s">
        <v>193</v>
      </c>
      <c r="I19" t="s">
        <v>193</v>
      </c>
      <c r="J19" t="s">
        <v>193</v>
      </c>
      <c r="K19" t="s">
        <v>193</v>
      </c>
      <c r="L19" t="s">
        <v>193</v>
      </c>
      <c r="M19" t="s">
        <v>193</v>
      </c>
      <c r="N19" t="s">
        <v>193</v>
      </c>
      <c r="O19" t="s">
        <v>193</v>
      </c>
      <c r="P19" t="s">
        <v>193</v>
      </c>
    </row>
    <row r="20" spans="1:16" ht="12.75">
      <c r="A20" s="62" t="str">
        <f t="shared" si="0"/>
        <v>Algeria_Poverty headcount ratio at $1 a day (PPP) (% of population)</v>
      </c>
      <c r="B20" t="s">
        <v>441</v>
      </c>
      <c r="C20" t="s">
        <v>196</v>
      </c>
      <c r="D20" t="s">
        <v>412</v>
      </c>
      <c r="E20" t="s">
        <v>413</v>
      </c>
      <c r="F20" t="s">
        <v>193</v>
      </c>
      <c r="G20" t="s">
        <v>193</v>
      </c>
      <c r="H20" t="s">
        <v>193</v>
      </c>
      <c r="I20" t="s">
        <v>193</v>
      </c>
      <c r="J20" t="s">
        <v>193</v>
      </c>
      <c r="K20" t="s">
        <v>193</v>
      </c>
      <c r="L20" t="s">
        <v>193</v>
      </c>
      <c r="M20" t="s">
        <v>193</v>
      </c>
      <c r="N20" t="s">
        <v>193</v>
      </c>
      <c r="O20" t="s">
        <v>193</v>
      </c>
      <c r="P20" t="s">
        <v>193</v>
      </c>
    </row>
    <row r="21" spans="1:16" ht="12.75">
      <c r="A21" s="62" t="str">
        <f t="shared" si="0"/>
        <v>Algeria_Poverty gap at $1 a day (PPP) (%)</v>
      </c>
      <c r="B21" t="s">
        <v>441</v>
      </c>
      <c r="C21" t="s">
        <v>196</v>
      </c>
      <c r="D21" t="s">
        <v>414</v>
      </c>
      <c r="E21" t="s">
        <v>415</v>
      </c>
      <c r="F21" t="s">
        <v>193</v>
      </c>
      <c r="G21" t="s">
        <v>193</v>
      </c>
      <c r="H21" t="s">
        <v>193</v>
      </c>
      <c r="I21" t="s">
        <v>193</v>
      </c>
      <c r="J21" t="s">
        <v>193</v>
      </c>
      <c r="K21" t="s">
        <v>193</v>
      </c>
      <c r="L21" t="s">
        <v>193</v>
      </c>
      <c r="M21" t="s">
        <v>193</v>
      </c>
      <c r="N21" t="s">
        <v>193</v>
      </c>
      <c r="O21" t="s">
        <v>193</v>
      </c>
      <c r="P21" t="s">
        <v>193</v>
      </c>
    </row>
    <row r="22" spans="1:16" ht="12.75">
      <c r="A22" s="62" t="str">
        <f t="shared" si="0"/>
        <v>Algeria_Poverty gap at $2 a day (PPP) (%)</v>
      </c>
      <c r="B22" t="s">
        <v>441</v>
      </c>
      <c r="C22" t="s">
        <v>196</v>
      </c>
      <c r="D22" t="s">
        <v>416</v>
      </c>
      <c r="E22" t="s">
        <v>417</v>
      </c>
      <c r="F22" t="s">
        <v>193</v>
      </c>
      <c r="G22" t="s">
        <v>193</v>
      </c>
      <c r="H22" t="s">
        <v>193</v>
      </c>
      <c r="I22" t="s">
        <v>193</v>
      </c>
      <c r="J22" t="s">
        <v>193</v>
      </c>
      <c r="K22" t="s">
        <v>193</v>
      </c>
      <c r="L22" t="s">
        <v>193</v>
      </c>
      <c r="M22" t="s">
        <v>193</v>
      </c>
      <c r="N22" t="s">
        <v>193</v>
      </c>
      <c r="O22" t="s">
        <v>193</v>
      </c>
      <c r="P22" t="s">
        <v>193</v>
      </c>
    </row>
    <row r="23" spans="1:16" ht="12.75">
      <c r="A23" s="62" t="str">
        <f t="shared" si="0"/>
        <v>Algeria_Population, total</v>
      </c>
      <c r="B23" t="s">
        <v>441</v>
      </c>
      <c r="C23" t="s">
        <v>196</v>
      </c>
      <c r="D23" t="s">
        <v>418</v>
      </c>
      <c r="E23" t="s">
        <v>419</v>
      </c>
      <c r="F23">
        <v>28756252</v>
      </c>
      <c r="G23">
        <v>29199633</v>
      </c>
      <c r="H23">
        <v>29617365</v>
      </c>
      <c r="I23">
        <v>30032758</v>
      </c>
      <c r="J23">
        <v>30463134</v>
      </c>
      <c r="K23">
        <v>30914193</v>
      </c>
      <c r="L23">
        <v>31382616</v>
      </c>
      <c r="M23">
        <v>31865717</v>
      </c>
      <c r="N23">
        <v>32357571</v>
      </c>
      <c r="O23">
        <v>32853798</v>
      </c>
      <c r="P23">
        <v>33347948.2182098</v>
      </c>
    </row>
    <row r="24" spans="1:16" ht="12.75">
      <c r="A24" s="62" t="str">
        <f t="shared" si="0"/>
        <v>Algeria_Public spending on education, total (% of GDP)</v>
      </c>
      <c r="B24" t="s">
        <v>441</v>
      </c>
      <c r="C24" t="s">
        <v>196</v>
      </c>
      <c r="D24" t="s">
        <v>420</v>
      </c>
      <c r="E24" t="s">
        <v>421</v>
      </c>
      <c r="F24" t="s">
        <v>193</v>
      </c>
      <c r="G24" t="s">
        <v>193</v>
      </c>
      <c r="H24" t="s">
        <v>193</v>
      </c>
      <c r="I24" t="s">
        <v>193</v>
      </c>
      <c r="J24" t="s">
        <v>193</v>
      </c>
      <c r="K24" t="s">
        <v>193</v>
      </c>
      <c r="L24" t="s">
        <v>193</v>
      </c>
      <c r="M24" t="s">
        <v>193</v>
      </c>
      <c r="N24" t="s">
        <v>193</v>
      </c>
      <c r="O24" t="s">
        <v>193</v>
      </c>
      <c r="P24" t="s">
        <v>193</v>
      </c>
    </row>
    <row r="25" spans="1:16" ht="12.75">
      <c r="A25" s="62" t="str">
        <f t="shared" si="0"/>
        <v>Algeria_Public spending on education, total (% of government expenditure)</v>
      </c>
      <c r="B25" t="s">
        <v>441</v>
      </c>
      <c r="C25" t="s">
        <v>196</v>
      </c>
      <c r="D25" t="s">
        <v>422</v>
      </c>
      <c r="E25" t="s">
        <v>423</v>
      </c>
      <c r="F25" t="s">
        <v>193</v>
      </c>
      <c r="G25" t="s">
        <v>193</v>
      </c>
      <c r="H25" t="s">
        <v>193</v>
      </c>
      <c r="I25" t="s">
        <v>193</v>
      </c>
      <c r="J25" t="s">
        <v>193</v>
      </c>
      <c r="K25" t="s">
        <v>193</v>
      </c>
      <c r="L25" t="s">
        <v>193</v>
      </c>
      <c r="M25" t="s">
        <v>193</v>
      </c>
      <c r="N25" t="s">
        <v>193</v>
      </c>
      <c r="O25" t="s">
        <v>193</v>
      </c>
      <c r="P25" t="s">
        <v>193</v>
      </c>
    </row>
    <row r="26" spans="1:16" ht="12.75">
      <c r="A26" s="62" t="str">
        <f t="shared" si="0"/>
        <v>Algeria_Health expenditure, public (% of total health expenditure)</v>
      </c>
      <c r="B26" t="s">
        <v>441</v>
      </c>
      <c r="C26" t="s">
        <v>196</v>
      </c>
      <c r="D26" t="s">
        <v>424</v>
      </c>
      <c r="E26" t="s">
        <v>425</v>
      </c>
      <c r="F26" t="s">
        <v>193</v>
      </c>
      <c r="G26" t="s">
        <v>193</v>
      </c>
      <c r="H26" t="s">
        <v>193</v>
      </c>
      <c r="I26" t="s">
        <v>193</v>
      </c>
      <c r="J26">
        <v>73.3</v>
      </c>
      <c r="K26">
        <v>77.4</v>
      </c>
      <c r="L26">
        <v>75.3</v>
      </c>
      <c r="M26">
        <v>77.4</v>
      </c>
      <c r="N26">
        <v>72.5</v>
      </c>
      <c r="O26" t="s">
        <v>193</v>
      </c>
      <c r="P26" t="s">
        <v>193</v>
      </c>
    </row>
    <row r="27" spans="1:16" ht="12.75">
      <c r="A27" s="62" t="str">
        <f t="shared" si="0"/>
        <v>Algeria_Health expenditure, public (% of GDP)</v>
      </c>
      <c r="B27" t="s">
        <v>441</v>
      </c>
      <c r="C27" t="s">
        <v>196</v>
      </c>
      <c r="D27" t="s">
        <v>426</v>
      </c>
      <c r="E27" t="s">
        <v>427</v>
      </c>
      <c r="F27" t="s">
        <v>193</v>
      </c>
      <c r="G27" t="s">
        <v>193</v>
      </c>
      <c r="H27" t="s">
        <v>193</v>
      </c>
      <c r="I27" t="s">
        <v>193</v>
      </c>
      <c r="J27">
        <v>2.5655</v>
      </c>
      <c r="K27">
        <v>2.9412</v>
      </c>
      <c r="L27">
        <v>2.6355</v>
      </c>
      <c r="M27">
        <v>2.709</v>
      </c>
      <c r="N27">
        <v>2.61</v>
      </c>
      <c r="O27" t="s">
        <v>193</v>
      </c>
      <c r="P27" t="s">
        <v>193</v>
      </c>
    </row>
    <row r="28" spans="1:16" ht="12.75">
      <c r="A28" s="62" t="str">
        <f t="shared" si="0"/>
        <v>Algeria_Health expenditure, total (% of GDP)</v>
      </c>
      <c r="B28" t="s">
        <v>441</v>
      </c>
      <c r="C28" t="s">
        <v>196</v>
      </c>
      <c r="D28" t="s">
        <v>428</v>
      </c>
      <c r="E28" t="s">
        <v>429</v>
      </c>
      <c r="F28" t="s">
        <v>193</v>
      </c>
      <c r="G28" t="s">
        <v>193</v>
      </c>
      <c r="H28" t="s">
        <v>193</v>
      </c>
      <c r="I28" t="s">
        <v>193</v>
      </c>
      <c r="J28">
        <v>3.5</v>
      </c>
      <c r="K28">
        <v>3.8</v>
      </c>
      <c r="L28">
        <v>3.5</v>
      </c>
      <c r="M28">
        <v>3.5</v>
      </c>
      <c r="N28">
        <v>3.6</v>
      </c>
      <c r="O28" t="s">
        <v>193</v>
      </c>
      <c r="P28" t="s">
        <v>193</v>
      </c>
    </row>
    <row r="29" spans="1:16" ht="12.75">
      <c r="A29" s="62" t="str">
        <f t="shared" si="0"/>
        <v>Algeria_GDP (current LCU)</v>
      </c>
      <c r="B29" t="s">
        <v>441</v>
      </c>
      <c r="C29" t="s">
        <v>196</v>
      </c>
      <c r="D29" t="s">
        <v>430</v>
      </c>
      <c r="E29" t="s">
        <v>431</v>
      </c>
      <c r="F29">
        <v>2570000007168</v>
      </c>
      <c r="G29">
        <v>2780199911424</v>
      </c>
      <c r="H29">
        <v>2830500102144</v>
      </c>
      <c r="I29">
        <v>3238200082432</v>
      </c>
      <c r="J29">
        <v>4123499954176</v>
      </c>
      <c r="K29">
        <v>4260799971328</v>
      </c>
      <c r="L29">
        <v>4546100199424</v>
      </c>
      <c r="M29">
        <v>5264299786240</v>
      </c>
      <c r="N29">
        <v>6126700068864</v>
      </c>
      <c r="O29">
        <v>7458461843456</v>
      </c>
      <c r="P29">
        <v>8381520150528</v>
      </c>
    </row>
    <row r="30" spans="1:16" ht="12.75">
      <c r="A30" s="62" t="str">
        <f t="shared" si="0"/>
        <v>Algeria_GDP (current US$)</v>
      </c>
      <c r="B30" t="s">
        <v>441</v>
      </c>
      <c r="C30" t="s">
        <v>196</v>
      </c>
      <c r="D30" t="s">
        <v>432</v>
      </c>
      <c r="E30" t="s">
        <v>433</v>
      </c>
      <c r="F30">
        <v>46941495296</v>
      </c>
      <c r="G30">
        <v>48177864704</v>
      </c>
      <c r="H30">
        <v>48187777024</v>
      </c>
      <c r="I30">
        <v>48640610304</v>
      </c>
      <c r="J30">
        <v>54790062080</v>
      </c>
      <c r="K30">
        <v>55180988416</v>
      </c>
      <c r="L30">
        <v>57053036544</v>
      </c>
      <c r="M30">
        <v>68018606080</v>
      </c>
      <c r="N30">
        <v>85013946368</v>
      </c>
      <c r="O30">
        <v>101785878528</v>
      </c>
      <c r="P30">
        <v>114727059456</v>
      </c>
    </row>
    <row r="31" spans="1:16" ht="12.75">
      <c r="A31" s="62" t="str">
        <f t="shared" si="0"/>
        <v>Algeria_GDP per capita, PPP (current international $)</v>
      </c>
      <c r="B31" t="s">
        <v>441</v>
      </c>
      <c r="C31" t="s">
        <v>196</v>
      </c>
      <c r="D31" t="s">
        <v>434</v>
      </c>
      <c r="E31" t="s">
        <v>435</v>
      </c>
      <c r="F31">
        <v>4725.35774899503</v>
      </c>
      <c r="G31">
        <v>4783.38221758984</v>
      </c>
      <c r="H31">
        <v>5011.49550013241</v>
      </c>
      <c r="I31">
        <v>5174.02656705396</v>
      </c>
      <c r="J31">
        <v>5326.78881308246</v>
      </c>
      <c r="K31">
        <v>5515.27030602789</v>
      </c>
      <c r="L31">
        <v>5787.84527557055</v>
      </c>
      <c r="M31">
        <v>6217.42022586534</v>
      </c>
      <c r="N31">
        <v>6610.32249602984</v>
      </c>
      <c r="O31">
        <v>7062.32872536411</v>
      </c>
      <c r="P31">
        <v>7376.24764240151</v>
      </c>
    </row>
    <row r="32" spans="1:16" ht="12.75">
      <c r="A32" s="62" t="str">
        <f t="shared" si="0"/>
        <v>Algeria_GDP per capita, PPP (constant 2000 international $)</v>
      </c>
      <c r="B32" t="s">
        <v>441</v>
      </c>
      <c r="C32" t="s">
        <v>196</v>
      </c>
      <c r="D32" t="s">
        <v>436</v>
      </c>
      <c r="E32" t="s">
        <v>437</v>
      </c>
      <c r="F32">
        <v>5035.27609914729</v>
      </c>
      <c r="G32">
        <v>5013.36527368948</v>
      </c>
      <c r="H32">
        <v>5194.73069727039</v>
      </c>
      <c r="I32">
        <v>5286.81286095876</v>
      </c>
      <c r="J32">
        <v>5326.78881308246</v>
      </c>
      <c r="K32">
        <v>5385.54292186087</v>
      </c>
      <c r="L32">
        <v>5554.49981359279</v>
      </c>
      <c r="M32">
        <v>5847.74061490026</v>
      </c>
      <c r="N32">
        <v>6058.31176863525</v>
      </c>
      <c r="O32">
        <v>6283.04707746357</v>
      </c>
      <c r="P32">
        <v>6375.63944502876</v>
      </c>
    </row>
    <row r="33" spans="1:16" ht="12.75">
      <c r="A33" s="62" t="str">
        <f t="shared" si="0"/>
        <v>Algeria_GINI index</v>
      </c>
      <c r="B33" t="s">
        <v>441</v>
      </c>
      <c r="C33" t="s">
        <v>196</v>
      </c>
      <c r="D33" t="s">
        <v>438</v>
      </c>
      <c r="E33" t="s">
        <v>439</v>
      </c>
      <c r="F33" t="s">
        <v>193</v>
      </c>
      <c r="G33" t="s">
        <v>193</v>
      </c>
      <c r="H33" t="s">
        <v>193</v>
      </c>
      <c r="I33" t="s">
        <v>193</v>
      </c>
      <c r="J33" t="s">
        <v>193</v>
      </c>
      <c r="K33" t="s">
        <v>193</v>
      </c>
      <c r="L33" t="s">
        <v>193</v>
      </c>
      <c r="M33" t="s">
        <v>193</v>
      </c>
      <c r="N33" t="s">
        <v>193</v>
      </c>
      <c r="O33" t="s">
        <v>193</v>
      </c>
      <c r="P33" t="s">
        <v>193</v>
      </c>
    </row>
    <row r="34" spans="1:16" ht="12.75">
      <c r="A34" s="62" t="str">
        <f t="shared" si="0"/>
        <v>Argentina_Poverty headcount ratio at national poverty line (% of population)</v>
      </c>
      <c r="B34" t="s">
        <v>442</v>
      </c>
      <c r="C34" t="s">
        <v>237</v>
      </c>
      <c r="D34" t="s">
        <v>408</v>
      </c>
      <c r="E34" t="s">
        <v>409</v>
      </c>
      <c r="F34" t="s">
        <v>193</v>
      </c>
      <c r="G34" t="s">
        <v>193</v>
      </c>
      <c r="H34" t="s">
        <v>193</v>
      </c>
      <c r="I34" t="s">
        <v>193</v>
      </c>
      <c r="J34" t="s">
        <v>193</v>
      </c>
      <c r="K34" t="s">
        <v>193</v>
      </c>
      <c r="L34" t="s">
        <v>193</v>
      </c>
      <c r="M34" t="s">
        <v>193</v>
      </c>
      <c r="N34" t="s">
        <v>193</v>
      </c>
      <c r="O34" t="s">
        <v>193</v>
      </c>
      <c r="P34" t="s">
        <v>193</v>
      </c>
    </row>
    <row r="35" spans="1:16" ht="12.75">
      <c r="A35" s="62" t="str">
        <f t="shared" si="0"/>
        <v>Argentina_Poverty headcount ratio at $2 a day (PPP) (% of population)</v>
      </c>
      <c r="B35" t="s">
        <v>442</v>
      </c>
      <c r="C35" t="s">
        <v>237</v>
      </c>
      <c r="D35" t="s">
        <v>410</v>
      </c>
      <c r="E35" t="s">
        <v>411</v>
      </c>
      <c r="F35">
        <v>9.76</v>
      </c>
      <c r="G35" t="s">
        <v>193</v>
      </c>
      <c r="H35">
        <v>10.38</v>
      </c>
      <c r="I35" t="s">
        <v>193</v>
      </c>
      <c r="J35" t="s">
        <v>193</v>
      </c>
      <c r="K35">
        <v>14.31</v>
      </c>
      <c r="L35" t="s">
        <v>193</v>
      </c>
      <c r="M35">
        <v>22.98</v>
      </c>
      <c r="N35">
        <v>17.4089</v>
      </c>
      <c r="O35" t="s">
        <v>193</v>
      </c>
      <c r="P35" t="s">
        <v>193</v>
      </c>
    </row>
    <row r="36" spans="1:16" ht="12.75">
      <c r="A36" s="62" t="str">
        <f t="shared" si="0"/>
        <v>Argentina_Poverty headcount ratio at $1 a day (PPP) (% of population)</v>
      </c>
      <c r="B36" t="s">
        <v>442</v>
      </c>
      <c r="C36" t="s">
        <v>237</v>
      </c>
      <c r="D36" t="s">
        <v>412</v>
      </c>
      <c r="E36" t="s">
        <v>413</v>
      </c>
      <c r="F36">
        <v>2</v>
      </c>
      <c r="G36" t="s">
        <v>193</v>
      </c>
      <c r="H36">
        <v>2</v>
      </c>
      <c r="I36" t="s">
        <v>193</v>
      </c>
      <c r="J36" t="s">
        <v>193</v>
      </c>
      <c r="K36">
        <v>3.33</v>
      </c>
      <c r="L36" t="s">
        <v>193</v>
      </c>
      <c r="M36">
        <v>7.29</v>
      </c>
      <c r="N36">
        <v>6.585</v>
      </c>
      <c r="O36" t="s">
        <v>193</v>
      </c>
      <c r="P36" t="s">
        <v>193</v>
      </c>
    </row>
    <row r="37" spans="1:16" ht="12.75">
      <c r="A37" s="62" t="str">
        <f t="shared" si="0"/>
        <v>Argentina_Poverty gap at $1 a day (PPP) (%)</v>
      </c>
      <c r="B37" t="s">
        <v>442</v>
      </c>
      <c r="C37" t="s">
        <v>237</v>
      </c>
      <c r="D37" t="s">
        <v>414</v>
      </c>
      <c r="E37" t="s">
        <v>415</v>
      </c>
      <c r="F37">
        <v>0.5</v>
      </c>
      <c r="G37" t="s">
        <v>193</v>
      </c>
      <c r="H37">
        <v>0.5</v>
      </c>
      <c r="I37" t="s">
        <v>193</v>
      </c>
      <c r="J37" t="s">
        <v>193</v>
      </c>
      <c r="K37">
        <v>0.5</v>
      </c>
      <c r="L37" t="s">
        <v>193</v>
      </c>
      <c r="M37">
        <v>1.54</v>
      </c>
      <c r="N37">
        <v>2.054</v>
      </c>
      <c r="O37" t="s">
        <v>193</v>
      </c>
      <c r="P37" t="s">
        <v>193</v>
      </c>
    </row>
    <row r="38" spans="1:16" ht="12.75">
      <c r="A38" s="62" t="str">
        <f t="shared" si="0"/>
        <v>Argentina_Poverty gap at $2 a day (PPP) (%)</v>
      </c>
      <c r="B38" t="s">
        <v>442</v>
      </c>
      <c r="C38" t="s">
        <v>237</v>
      </c>
      <c r="D38" t="s">
        <v>416</v>
      </c>
      <c r="E38" t="s">
        <v>417</v>
      </c>
      <c r="F38">
        <v>2.67</v>
      </c>
      <c r="G38" t="s">
        <v>193</v>
      </c>
      <c r="H38">
        <v>2.64</v>
      </c>
      <c r="I38" t="s">
        <v>193</v>
      </c>
      <c r="J38" t="s">
        <v>193</v>
      </c>
      <c r="K38">
        <v>4.69</v>
      </c>
      <c r="L38" t="s">
        <v>193</v>
      </c>
      <c r="M38">
        <v>8.44</v>
      </c>
      <c r="N38">
        <v>7.05</v>
      </c>
      <c r="O38" t="s">
        <v>193</v>
      </c>
      <c r="P38" t="s">
        <v>193</v>
      </c>
    </row>
    <row r="39" spans="1:16" ht="12.75">
      <c r="A39" s="62" t="str">
        <f t="shared" si="0"/>
        <v>Argentina_Population, total</v>
      </c>
      <c r="B39" t="s">
        <v>442</v>
      </c>
      <c r="C39" t="s">
        <v>237</v>
      </c>
      <c r="D39" t="s">
        <v>418</v>
      </c>
      <c r="E39" t="s">
        <v>419</v>
      </c>
      <c r="F39">
        <v>35265846</v>
      </c>
      <c r="G39">
        <v>35688625</v>
      </c>
      <c r="H39">
        <v>36101962</v>
      </c>
      <c r="I39">
        <v>36504473</v>
      </c>
      <c r="J39">
        <v>36895712</v>
      </c>
      <c r="K39">
        <v>37274397</v>
      </c>
      <c r="L39">
        <v>37642174</v>
      </c>
      <c r="M39">
        <v>38005141</v>
      </c>
      <c r="N39">
        <v>38371527</v>
      </c>
      <c r="O39">
        <v>38747148</v>
      </c>
      <c r="P39">
        <v>39120455.5356777</v>
      </c>
    </row>
    <row r="40" spans="1:16" ht="12.75">
      <c r="A40" s="62" t="str">
        <f t="shared" si="0"/>
        <v>Argentina_Public spending on education, total (% of GDP)</v>
      </c>
      <c r="B40" t="s">
        <v>442</v>
      </c>
      <c r="C40" t="s">
        <v>237</v>
      </c>
      <c r="D40" t="s">
        <v>420</v>
      </c>
      <c r="E40" t="s">
        <v>421</v>
      </c>
      <c r="F40" t="s">
        <v>193</v>
      </c>
      <c r="G40" t="s">
        <v>193</v>
      </c>
      <c r="H40" t="s">
        <v>193</v>
      </c>
      <c r="I40">
        <v>4.52167865283834</v>
      </c>
      <c r="J40">
        <v>4.59759813056887</v>
      </c>
      <c r="K40">
        <v>4.83374273750943</v>
      </c>
      <c r="L40">
        <v>4.01734089473074</v>
      </c>
      <c r="M40">
        <v>3.53505294019977</v>
      </c>
      <c r="N40">
        <v>3.78121082438652</v>
      </c>
      <c r="O40" t="s">
        <v>193</v>
      </c>
      <c r="P40" t="s">
        <v>193</v>
      </c>
    </row>
    <row r="41" spans="1:16" ht="12.75">
      <c r="A41" s="62" t="str">
        <f t="shared" si="0"/>
        <v>Argentina_Public spending on education, total (% of government expenditure)</v>
      </c>
      <c r="B41" t="s">
        <v>442</v>
      </c>
      <c r="C41" t="s">
        <v>237</v>
      </c>
      <c r="D41" t="s">
        <v>422</v>
      </c>
      <c r="E41" t="s">
        <v>423</v>
      </c>
      <c r="F41" t="s">
        <v>193</v>
      </c>
      <c r="G41" t="s">
        <v>193</v>
      </c>
      <c r="H41" t="s">
        <v>193</v>
      </c>
      <c r="I41">
        <v>13.2852494352215</v>
      </c>
      <c r="J41">
        <v>13.7204633639246</v>
      </c>
      <c r="K41">
        <v>13.5267428607136</v>
      </c>
      <c r="L41">
        <v>13.7506953417577</v>
      </c>
      <c r="M41">
        <v>12.0216356056809</v>
      </c>
      <c r="N41">
        <v>13.0611217489343</v>
      </c>
      <c r="O41" t="s">
        <v>193</v>
      </c>
      <c r="P41" t="s">
        <v>193</v>
      </c>
    </row>
    <row r="42" spans="1:16" ht="12.75">
      <c r="A42" s="62" t="str">
        <f t="shared" si="0"/>
        <v>Argentina_Health expenditure, public (% of total health expenditure)</v>
      </c>
      <c r="B42" t="s">
        <v>442</v>
      </c>
      <c r="C42" t="s">
        <v>237</v>
      </c>
      <c r="D42" t="s">
        <v>424</v>
      </c>
      <c r="E42" t="s">
        <v>425</v>
      </c>
      <c r="F42" t="s">
        <v>193</v>
      </c>
      <c r="G42" t="s">
        <v>193</v>
      </c>
      <c r="H42" t="s">
        <v>193</v>
      </c>
      <c r="I42" t="s">
        <v>193</v>
      </c>
      <c r="J42">
        <v>55.4</v>
      </c>
      <c r="K42">
        <v>53.6</v>
      </c>
      <c r="L42">
        <v>52.1</v>
      </c>
      <c r="M42">
        <v>48.6</v>
      </c>
      <c r="N42">
        <v>45.3</v>
      </c>
      <c r="O42" t="s">
        <v>193</v>
      </c>
      <c r="P42" t="s">
        <v>193</v>
      </c>
    </row>
    <row r="43" spans="1:16" ht="12.75">
      <c r="A43" s="62" t="str">
        <f t="shared" si="0"/>
        <v>Argentina_Health expenditure, public (% of GDP)</v>
      </c>
      <c r="B43" t="s">
        <v>442</v>
      </c>
      <c r="C43" t="s">
        <v>237</v>
      </c>
      <c r="D43" t="s">
        <v>426</v>
      </c>
      <c r="E43" t="s">
        <v>427</v>
      </c>
      <c r="F43" t="s">
        <v>193</v>
      </c>
      <c r="G43" t="s">
        <v>193</v>
      </c>
      <c r="H43" t="s">
        <v>193</v>
      </c>
      <c r="I43" t="s">
        <v>193</v>
      </c>
      <c r="J43">
        <v>4.9306</v>
      </c>
      <c r="K43">
        <v>5.092</v>
      </c>
      <c r="L43">
        <v>4.4806</v>
      </c>
      <c r="M43">
        <v>4.3254</v>
      </c>
      <c r="N43">
        <v>4.3488</v>
      </c>
      <c r="O43" t="s">
        <v>193</v>
      </c>
      <c r="P43" t="s">
        <v>193</v>
      </c>
    </row>
    <row r="44" spans="1:16" ht="12.75">
      <c r="A44" s="62" t="str">
        <f t="shared" si="0"/>
        <v>Argentina_Health expenditure, total (% of GDP)</v>
      </c>
      <c r="B44" t="s">
        <v>442</v>
      </c>
      <c r="C44" t="s">
        <v>237</v>
      </c>
      <c r="D44" t="s">
        <v>428</v>
      </c>
      <c r="E44" t="s">
        <v>429</v>
      </c>
      <c r="F44" t="s">
        <v>193</v>
      </c>
      <c r="G44" t="s">
        <v>193</v>
      </c>
      <c r="H44" t="s">
        <v>193</v>
      </c>
      <c r="I44" t="s">
        <v>193</v>
      </c>
      <c r="J44">
        <v>8.9</v>
      </c>
      <c r="K44">
        <v>9.5</v>
      </c>
      <c r="L44">
        <v>8.6</v>
      </c>
      <c r="M44">
        <v>8.9</v>
      </c>
      <c r="N44">
        <v>9.6</v>
      </c>
      <c r="O44" t="s">
        <v>193</v>
      </c>
      <c r="P44" t="s">
        <v>193</v>
      </c>
    </row>
    <row r="45" spans="1:16" ht="12.75">
      <c r="A45" s="62" t="str">
        <f t="shared" si="0"/>
        <v>Argentina_GDP (current LCU)</v>
      </c>
      <c r="B45" t="s">
        <v>442</v>
      </c>
      <c r="C45" t="s">
        <v>237</v>
      </c>
      <c r="D45" t="s">
        <v>430</v>
      </c>
      <c r="E45" t="s">
        <v>431</v>
      </c>
      <c r="F45">
        <v>272149757952</v>
      </c>
      <c r="G45">
        <v>292858888192</v>
      </c>
      <c r="H45">
        <v>298948362240</v>
      </c>
      <c r="I45">
        <v>283523022848</v>
      </c>
      <c r="J45">
        <v>284203745280</v>
      </c>
      <c r="K45">
        <v>268696715264</v>
      </c>
      <c r="L45">
        <v>312580145152</v>
      </c>
      <c r="M45">
        <v>375909351424</v>
      </c>
      <c r="N45">
        <v>447643418624</v>
      </c>
      <c r="O45">
        <v>531938738176</v>
      </c>
      <c r="P45">
        <v>654413070336</v>
      </c>
    </row>
    <row r="46" spans="1:16" ht="12.75">
      <c r="A46" s="62" t="str">
        <f t="shared" si="0"/>
        <v>Argentina_GDP (current US$)</v>
      </c>
      <c r="B46" t="s">
        <v>442</v>
      </c>
      <c r="C46" t="s">
        <v>237</v>
      </c>
      <c r="D46" t="s">
        <v>432</v>
      </c>
      <c r="E46" t="s">
        <v>433</v>
      </c>
      <c r="F46">
        <v>272149757952</v>
      </c>
      <c r="G46">
        <v>292858888192</v>
      </c>
      <c r="H46">
        <v>298948362240</v>
      </c>
      <c r="I46">
        <v>283523022848</v>
      </c>
      <c r="J46">
        <v>284203745280</v>
      </c>
      <c r="K46">
        <v>268696715264</v>
      </c>
      <c r="L46">
        <v>102040330240</v>
      </c>
      <c r="M46">
        <v>129597104128</v>
      </c>
      <c r="N46">
        <v>153129484288</v>
      </c>
      <c r="O46">
        <v>183193419776</v>
      </c>
      <c r="P46">
        <v>214057746432</v>
      </c>
    </row>
    <row r="47" spans="1:16" ht="12.75">
      <c r="A47" s="62" t="str">
        <f t="shared" si="0"/>
        <v>Argentina_GDP per capita, PPP (current international $)</v>
      </c>
      <c r="B47" t="s">
        <v>442</v>
      </c>
      <c r="C47" t="s">
        <v>237</v>
      </c>
      <c r="D47" t="s">
        <v>434</v>
      </c>
      <c r="E47" t="s">
        <v>435</v>
      </c>
      <c r="F47">
        <v>11034.5745297087</v>
      </c>
      <c r="G47">
        <v>11985.1781130662</v>
      </c>
      <c r="H47">
        <v>12440.8290011818</v>
      </c>
      <c r="I47">
        <v>12058.8791336809</v>
      </c>
      <c r="J47">
        <v>12094.9000102054</v>
      </c>
      <c r="K47">
        <v>11719.8638200145</v>
      </c>
      <c r="L47">
        <v>10521.9858288832</v>
      </c>
      <c r="M47">
        <v>11573.2932930733</v>
      </c>
      <c r="N47">
        <v>12825.7694291429</v>
      </c>
      <c r="O47">
        <v>14285.5943972113</v>
      </c>
      <c r="P47">
        <v>15795.0526750498</v>
      </c>
    </row>
    <row r="48" spans="1:16" ht="12.75">
      <c r="A48" s="62" t="str">
        <f t="shared" si="0"/>
        <v>Argentina_GDP per capita, PPP (constant 2000 international $)</v>
      </c>
      <c r="B48" t="s">
        <v>442</v>
      </c>
      <c r="C48" t="s">
        <v>237</v>
      </c>
      <c r="D48" t="s">
        <v>436</v>
      </c>
      <c r="E48" t="s">
        <v>437</v>
      </c>
      <c r="F48">
        <v>11758.2905559941</v>
      </c>
      <c r="G48">
        <v>12561.4205634825</v>
      </c>
      <c r="H48">
        <v>12895.7027518479</v>
      </c>
      <c r="I48">
        <v>12321.7452532316</v>
      </c>
      <c r="J48">
        <v>12094.9000102054</v>
      </c>
      <c r="K48">
        <v>11444.1951416358</v>
      </c>
      <c r="L48">
        <v>10097.7765545739</v>
      </c>
      <c r="M48">
        <v>10885.1605295247</v>
      </c>
      <c r="N48">
        <v>11754.7229989228</v>
      </c>
      <c r="O48">
        <v>12709.2727650681</v>
      </c>
      <c r="P48">
        <v>13652.4105145917</v>
      </c>
    </row>
    <row r="49" spans="1:16" ht="12.75">
      <c r="A49" s="62" t="str">
        <f t="shared" si="0"/>
        <v>Argentina_GINI index</v>
      </c>
      <c r="B49" t="s">
        <v>442</v>
      </c>
      <c r="C49" t="s">
        <v>237</v>
      </c>
      <c r="D49" t="s">
        <v>438</v>
      </c>
      <c r="E49" t="s">
        <v>439</v>
      </c>
      <c r="F49">
        <v>48.58</v>
      </c>
      <c r="G49" t="s">
        <v>193</v>
      </c>
      <c r="H49">
        <v>49.84</v>
      </c>
      <c r="I49" t="s">
        <v>193</v>
      </c>
      <c r="J49" t="s">
        <v>193</v>
      </c>
      <c r="K49">
        <v>52.24</v>
      </c>
      <c r="L49" t="s">
        <v>193</v>
      </c>
      <c r="M49">
        <v>52.75</v>
      </c>
      <c r="N49">
        <v>51.32</v>
      </c>
      <c r="O49" t="s">
        <v>193</v>
      </c>
      <c r="P49" t="s">
        <v>193</v>
      </c>
    </row>
    <row r="50" spans="1:16" ht="12.75">
      <c r="A50" s="62" t="str">
        <f t="shared" si="0"/>
        <v>Armenia_Poverty headcount ratio at national poverty line (% of population)</v>
      </c>
      <c r="B50" t="s">
        <v>443</v>
      </c>
      <c r="C50" t="s">
        <v>204</v>
      </c>
      <c r="D50" t="s">
        <v>408</v>
      </c>
      <c r="E50" t="s">
        <v>409</v>
      </c>
      <c r="F50" t="s">
        <v>193</v>
      </c>
      <c r="G50" t="s">
        <v>193</v>
      </c>
      <c r="H50" t="s">
        <v>193</v>
      </c>
      <c r="I50">
        <v>55.05</v>
      </c>
      <c r="J50" t="s">
        <v>193</v>
      </c>
      <c r="K50">
        <v>50.9</v>
      </c>
      <c r="L50" t="s">
        <v>193</v>
      </c>
      <c r="M50" t="s">
        <v>193</v>
      </c>
      <c r="N50" t="s">
        <v>193</v>
      </c>
      <c r="O50" t="s">
        <v>193</v>
      </c>
      <c r="P50" t="s">
        <v>193</v>
      </c>
    </row>
    <row r="51" spans="1:16" ht="12.75">
      <c r="A51" s="62" t="str">
        <f aca="true" t="shared" si="1" ref="A51:A114">C51&amp;"_"&amp;E51</f>
        <v>Armenia_Poverty headcount ratio at $2 a day (PPP) (% of population)</v>
      </c>
      <c r="B51" t="s">
        <v>443</v>
      </c>
      <c r="C51" t="s">
        <v>204</v>
      </c>
      <c r="D51" t="s">
        <v>410</v>
      </c>
      <c r="E51" t="s">
        <v>411</v>
      </c>
      <c r="F51">
        <v>31.5</v>
      </c>
      <c r="G51" t="s">
        <v>193</v>
      </c>
      <c r="H51" t="s">
        <v>193</v>
      </c>
      <c r="I51">
        <v>38.26</v>
      </c>
      <c r="J51" t="s">
        <v>193</v>
      </c>
      <c r="K51" t="s">
        <v>193</v>
      </c>
      <c r="L51" t="s">
        <v>193</v>
      </c>
      <c r="M51">
        <v>31.073</v>
      </c>
      <c r="N51" t="s">
        <v>193</v>
      </c>
      <c r="O51" t="s">
        <v>193</v>
      </c>
      <c r="P51" t="s">
        <v>193</v>
      </c>
    </row>
    <row r="52" spans="1:16" ht="12.75">
      <c r="A52" s="62" t="str">
        <f t="shared" si="1"/>
        <v>Armenia_Poverty headcount ratio at $1 a day (PPP) (% of population)</v>
      </c>
      <c r="B52" t="s">
        <v>443</v>
      </c>
      <c r="C52" t="s">
        <v>204</v>
      </c>
      <c r="D52" t="s">
        <v>412</v>
      </c>
      <c r="E52" t="s">
        <v>413</v>
      </c>
      <c r="F52">
        <v>6.65</v>
      </c>
      <c r="G52" t="s">
        <v>193</v>
      </c>
      <c r="H52" t="s">
        <v>193</v>
      </c>
      <c r="I52">
        <v>4.98</v>
      </c>
      <c r="J52" t="s">
        <v>193</v>
      </c>
      <c r="K52" t="s">
        <v>193</v>
      </c>
      <c r="L52" t="s">
        <v>193</v>
      </c>
      <c r="M52">
        <v>2</v>
      </c>
      <c r="N52" t="s">
        <v>193</v>
      </c>
      <c r="O52" t="s">
        <v>193</v>
      </c>
      <c r="P52" t="s">
        <v>193</v>
      </c>
    </row>
    <row r="53" spans="1:16" ht="12.75">
      <c r="A53" s="62" t="str">
        <f t="shared" si="1"/>
        <v>Armenia_Poverty gap at $1 a day (PPP) (%)</v>
      </c>
      <c r="B53" t="s">
        <v>443</v>
      </c>
      <c r="C53" t="s">
        <v>204</v>
      </c>
      <c r="D53" t="s">
        <v>414</v>
      </c>
      <c r="E53" t="s">
        <v>415</v>
      </c>
      <c r="F53">
        <v>1.45</v>
      </c>
      <c r="G53" t="s">
        <v>193</v>
      </c>
      <c r="H53" t="s">
        <v>193</v>
      </c>
      <c r="I53">
        <v>1.09</v>
      </c>
      <c r="J53" t="s">
        <v>193</v>
      </c>
      <c r="K53" t="s">
        <v>193</v>
      </c>
      <c r="L53" t="s">
        <v>193</v>
      </c>
      <c r="M53">
        <v>0.5</v>
      </c>
      <c r="N53" t="s">
        <v>193</v>
      </c>
      <c r="O53" t="s">
        <v>193</v>
      </c>
      <c r="P53" t="s">
        <v>193</v>
      </c>
    </row>
    <row r="54" spans="1:16" ht="12.75">
      <c r="A54" s="62" t="str">
        <f t="shared" si="1"/>
        <v>Armenia_Poverty gap at $2 a day (PPP) (%)</v>
      </c>
      <c r="B54" t="s">
        <v>443</v>
      </c>
      <c r="C54" t="s">
        <v>204</v>
      </c>
      <c r="D54" t="s">
        <v>416</v>
      </c>
      <c r="E54" t="s">
        <v>417</v>
      </c>
      <c r="F54">
        <v>10.18</v>
      </c>
      <c r="G54" t="s">
        <v>193</v>
      </c>
      <c r="H54" t="s">
        <v>193</v>
      </c>
      <c r="I54">
        <v>10.77</v>
      </c>
      <c r="J54" t="s">
        <v>193</v>
      </c>
      <c r="K54" t="s">
        <v>193</v>
      </c>
      <c r="L54" t="s">
        <v>193</v>
      </c>
      <c r="M54">
        <v>7.078</v>
      </c>
      <c r="N54" t="s">
        <v>193</v>
      </c>
      <c r="O54" t="s">
        <v>193</v>
      </c>
      <c r="P54" t="s">
        <v>193</v>
      </c>
    </row>
    <row r="55" spans="1:16" ht="12.75">
      <c r="A55" s="62" t="str">
        <f t="shared" si="1"/>
        <v>Armenia_Population, total</v>
      </c>
      <c r="B55" t="s">
        <v>443</v>
      </c>
      <c r="C55" t="s">
        <v>204</v>
      </c>
      <c r="D55" t="s">
        <v>418</v>
      </c>
      <c r="E55" t="s">
        <v>419</v>
      </c>
      <c r="F55">
        <v>3178037</v>
      </c>
      <c r="G55">
        <v>3143062</v>
      </c>
      <c r="H55">
        <v>3118983</v>
      </c>
      <c r="I55">
        <v>3100050</v>
      </c>
      <c r="J55">
        <v>3082000</v>
      </c>
      <c r="K55">
        <v>3064725</v>
      </c>
      <c r="L55">
        <v>3049943</v>
      </c>
      <c r="M55">
        <v>3037193</v>
      </c>
      <c r="N55">
        <v>3026089</v>
      </c>
      <c r="O55">
        <v>3016312</v>
      </c>
      <c r="P55">
        <v>3007194.64864785</v>
      </c>
    </row>
    <row r="56" spans="1:16" ht="12.75">
      <c r="A56" s="62" t="str">
        <f t="shared" si="1"/>
        <v>Armenia_Public spending on education, total (% of GDP)</v>
      </c>
      <c r="B56" t="s">
        <v>443</v>
      </c>
      <c r="C56" t="s">
        <v>204</v>
      </c>
      <c r="D56" t="s">
        <v>420</v>
      </c>
      <c r="E56" t="s">
        <v>421</v>
      </c>
      <c r="F56" t="s">
        <v>193</v>
      </c>
      <c r="G56" t="s">
        <v>193</v>
      </c>
      <c r="H56" t="s">
        <v>193</v>
      </c>
      <c r="I56">
        <v>3.23876695700701</v>
      </c>
      <c r="J56">
        <v>3.23880137982491</v>
      </c>
      <c r="K56">
        <v>3.18338903481153</v>
      </c>
      <c r="L56" t="s">
        <v>193</v>
      </c>
      <c r="M56" t="s">
        <v>193</v>
      </c>
      <c r="N56" t="s">
        <v>193</v>
      </c>
      <c r="O56" t="s">
        <v>193</v>
      </c>
      <c r="P56" t="s">
        <v>193</v>
      </c>
    </row>
    <row r="57" spans="1:16" ht="12.75">
      <c r="A57" s="62" t="str">
        <f t="shared" si="1"/>
        <v>Armenia_Public spending on education, total (% of government expenditure)</v>
      </c>
      <c r="B57" t="s">
        <v>443</v>
      </c>
      <c r="C57" t="s">
        <v>204</v>
      </c>
      <c r="D57" t="s">
        <v>422</v>
      </c>
      <c r="E57" t="s">
        <v>423</v>
      </c>
      <c r="F57" t="s">
        <v>193</v>
      </c>
      <c r="G57" t="s">
        <v>193</v>
      </c>
      <c r="H57" t="s">
        <v>193</v>
      </c>
      <c r="I57" t="s">
        <v>193</v>
      </c>
      <c r="J57" t="s">
        <v>193</v>
      </c>
      <c r="K57" t="s">
        <v>193</v>
      </c>
      <c r="L57" t="s">
        <v>193</v>
      </c>
      <c r="M57" t="s">
        <v>193</v>
      </c>
      <c r="N57" t="s">
        <v>193</v>
      </c>
      <c r="O57" t="s">
        <v>193</v>
      </c>
      <c r="P57" t="s">
        <v>193</v>
      </c>
    </row>
    <row r="58" spans="1:16" ht="12.75">
      <c r="A58" s="62" t="str">
        <f t="shared" si="1"/>
        <v>Armenia_Health expenditure, public (% of total health expenditure)</v>
      </c>
      <c r="B58" t="s">
        <v>443</v>
      </c>
      <c r="C58" t="s">
        <v>204</v>
      </c>
      <c r="D58" t="s">
        <v>424</v>
      </c>
      <c r="E58" t="s">
        <v>425</v>
      </c>
      <c r="F58" t="s">
        <v>193</v>
      </c>
      <c r="G58" t="s">
        <v>193</v>
      </c>
      <c r="H58" t="s">
        <v>193</v>
      </c>
      <c r="I58" t="s">
        <v>193</v>
      </c>
      <c r="J58">
        <v>16.7</v>
      </c>
      <c r="K58">
        <v>22.4</v>
      </c>
      <c r="L58">
        <v>23.6</v>
      </c>
      <c r="M58">
        <v>23.4</v>
      </c>
      <c r="N58">
        <v>26.2</v>
      </c>
      <c r="O58" t="s">
        <v>193</v>
      </c>
      <c r="P58" t="s">
        <v>193</v>
      </c>
    </row>
    <row r="59" spans="1:16" ht="12.75">
      <c r="A59" s="62" t="str">
        <f t="shared" si="1"/>
        <v>Armenia_Health expenditure, public (% of GDP)</v>
      </c>
      <c r="B59" t="s">
        <v>443</v>
      </c>
      <c r="C59" t="s">
        <v>204</v>
      </c>
      <c r="D59" t="s">
        <v>426</v>
      </c>
      <c r="E59" t="s">
        <v>427</v>
      </c>
      <c r="F59" t="s">
        <v>193</v>
      </c>
      <c r="G59" t="s">
        <v>193</v>
      </c>
      <c r="H59" t="s">
        <v>193</v>
      </c>
      <c r="I59" t="s">
        <v>193</v>
      </c>
      <c r="J59">
        <v>1.0521</v>
      </c>
      <c r="K59">
        <v>1.456</v>
      </c>
      <c r="L59">
        <v>1.2744</v>
      </c>
      <c r="M59">
        <v>1.3104</v>
      </c>
      <c r="N59">
        <v>1.4148</v>
      </c>
      <c r="O59" t="s">
        <v>193</v>
      </c>
      <c r="P59" t="s">
        <v>193</v>
      </c>
    </row>
    <row r="60" spans="1:16" ht="12.75">
      <c r="A60" s="62" t="str">
        <f t="shared" si="1"/>
        <v>Armenia_Health expenditure, total (% of GDP)</v>
      </c>
      <c r="B60" t="s">
        <v>443</v>
      </c>
      <c r="C60" t="s">
        <v>204</v>
      </c>
      <c r="D60" t="s">
        <v>428</v>
      </c>
      <c r="E60" t="s">
        <v>429</v>
      </c>
      <c r="F60" t="s">
        <v>193</v>
      </c>
      <c r="G60" t="s">
        <v>193</v>
      </c>
      <c r="H60" t="s">
        <v>193</v>
      </c>
      <c r="I60" t="s">
        <v>193</v>
      </c>
      <c r="J60">
        <v>6.3</v>
      </c>
      <c r="K60">
        <v>6.5</v>
      </c>
      <c r="L60">
        <v>5.4</v>
      </c>
      <c r="M60">
        <v>5.6</v>
      </c>
      <c r="N60">
        <v>5.4</v>
      </c>
      <c r="O60" t="s">
        <v>193</v>
      </c>
      <c r="P60" t="s">
        <v>193</v>
      </c>
    </row>
    <row r="61" spans="1:16" ht="12.75">
      <c r="A61" s="62" t="str">
        <f t="shared" si="1"/>
        <v>Armenia_GDP (current LCU)</v>
      </c>
      <c r="B61" t="s">
        <v>443</v>
      </c>
      <c r="C61" t="s">
        <v>204</v>
      </c>
      <c r="D61" t="s">
        <v>430</v>
      </c>
      <c r="E61" t="s">
        <v>431</v>
      </c>
      <c r="F61">
        <v>661209022464</v>
      </c>
      <c r="G61">
        <v>804334993408</v>
      </c>
      <c r="H61">
        <v>955384987648</v>
      </c>
      <c r="I61">
        <v>987443691520</v>
      </c>
      <c r="J61">
        <v>1031338328064</v>
      </c>
      <c r="K61">
        <v>1175876796416</v>
      </c>
      <c r="L61">
        <v>1362471682048</v>
      </c>
      <c r="M61">
        <v>1624642682880</v>
      </c>
      <c r="N61">
        <v>1907945373696</v>
      </c>
      <c r="O61">
        <v>2243953164288</v>
      </c>
      <c r="P61">
        <v>2665036644352</v>
      </c>
    </row>
    <row r="62" spans="1:16" ht="12.75">
      <c r="A62" s="62" t="str">
        <f t="shared" si="1"/>
        <v>Armenia_GDP (current US$)</v>
      </c>
      <c r="B62" t="s">
        <v>443</v>
      </c>
      <c r="C62" t="s">
        <v>204</v>
      </c>
      <c r="D62" t="s">
        <v>432</v>
      </c>
      <c r="E62" t="s">
        <v>433</v>
      </c>
      <c r="F62">
        <v>1596968960</v>
      </c>
      <c r="G62">
        <v>1639492480</v>
      </c>
      <c r="H62">
        <v>1893726464</v>
      </c>
      <c r="I62">
        <v>1845482240</v>
      </c>
      <c r="J62">
        <v>1911563648</v>
      </c>
      <c r="K62">
        <v>2118467968</v>
      </c>
      <c r="L62">
        <v>2376335104</v>
      </c>
      <c r="M62">
        <v>2807060992</v>
      </c>
      <c r="N62">
        <v>3576615168</v>
      </c>
      <c r="O62">
        <v>4902779392</v>
      </c>
      <c r="P62">
        <v>6405722112</v>
      </c>
    </row>
    <row r="63" spans="1:16" ht="12.75">
      <c r="A63" s="62" t="str">
        <f t="shared" si="1"/>
        <v>Armenia_GDP per capita, PPP (current international $)</v>
      </c>
      <c r="B63" t="s">
        <v>443</v>
      </c>
      <c r="C63" t="s">
        <v>204</v>
      </c>
      <c r="D63" t="s">
        <v>434</v>
      </c>
      <c r="E63" t="s">
        <v>435</v>
      </c>
      <c r="F63">
        <v>1814.53639970205</v>
      </c>
      <c r="G63">
        <v>1927.32507454984</v>
      </c>
      <c r="H63">
        <v>2107.13911983601</v>
      </c>
      <c r="I63">
        <v>2221.6120919681</v>
      </c>
      <c r="J63">
        <v>2421.24444220681</v>
      </c>
      <c r="K63">
        <v>2731.84319080781</v>
      </c>
      <c r="L63">
        <v>3161.43384645668</v>
      </c>
      <c r="M63">
        <v>3692.82238929723</v>
      </c>
      <c r="N63">
        <v>4203.00901799024</v>
      </c>
      <c r="O63">
        <v>4951.96046213997</v>
      </c>
      <c r="P63">
        <v>5797.47761084409</v>
      </c>
    </row>
    <row r="64" spans="1:16" ht="12.75">
      <c r="A64" s="62" t="str">
        <f t="shared" si="1"/>
        <v>Armenia_GDP per capita, PPP (constant 2000 international $)</v>
      </c>
      <c r="B64" t="s">
        <v>443</v>
      </c>
      <c r="C64" t="s">
        <v>204</v>
      </c>
      <c r="D64" t="s">
        <v>436</v>
      </c>
      <c r="E64" t="s">
        <v>437</v>
      </c>
      <c r="F64">
        <v>1933.54498215414</v>
      </c>
      <c r="G64">
        <v>2019.99007403754</v>
      </c>
      <c r="H64">
        <v>2184.18240003253</v>
      </c>
      <c r="I64">
        <v>2270.04002156991</v>
      </c>
      <c r="J64">
        <v>2421.24444220681</v>
      </c>
      <c r="K64">
        <v>2667.58616414664</v>
      </c>
      <c r="L64">
        <v>3033.97600916319</v>
      </c>
      <c r="M64">
        <v>3473.25203782585</v>
      </c>
      <c r="N64">
        <v>3852.02673737378</v>
      </c>
      <c r="O64">
        <v>4405.54410864804</v>
      </c>
      <c r="P64">
        <v>5011.03389274694</v>
      </c>
    </row>
    <row r="65" spans="1:16" ht="12.75">
      <c r="A65" s="62" t="str">
        <f t="shared" si="1"/>
        <v>Armenia_GINI index</v>
      </c>
      <c r="B65" t="s">
        <v>443</v>
      </c>
      <c r="C65" t="s">
        <v>204</v>
      </c>
      <c r="D65" t="s">
        <v>438</v>
      </c>
      <c r="E65" t="s">
        <v>439</v>
      </c>
      <c r="F65">
        <v>44.42</v>
      </c>
      <c r="G65" t="s">
        <v>193</v>
      </c>
      <c r="H65" t="s">
        <v>193</v>
      </c>
      <c r="I65">
        <v>36.01</v>
      </c>
      <c r="J65" t="s">
        <v>193</v>
      </c>
      <c r="K65" t="s">
        <v>193</v>
      </c>
      <c r="L65" t="s">
        <v>193</v>
      </c>
      <c r="M65">
        <v>33.766</v>
      </c>
      <c r="N65" t="s">
        <v>193</v>
      </c>
      <c r="O65" t="s">
        <v>193</v>
      </c>
      <c r="P65" t="s">
        <v>193</v>
      </c>
    </row>
    <row r="66" spans="1:16" ht="12.75">
      <c r="A66" s="62" t="str">
        <f t="shared" si="1"/>
        <v>Azerbaijan_Poverty headcount ratio at national poverty line (% of population)</v>
      </c>
      <c r="B66" t="s">
        <v>444</v>
      </c>
      <c r="C66" t="s">
        <v>205</v>
      </c>
      <c r="D66" t="s">
        <v>408</v>
      </c>
      <c r="E66" t="s">
        <v>409</v>
      </c>
      <c r="F66" t="s">
        <v>193</v>
      </c>
      <c r="G66" t="s">
        <v>193</v>
      </c>
      <c r="H66" t="s">
        <v>193</v>
      </c>
      <c r="I66" t="s">
        <v>193</v>
      </c>
      <c r="J66" t="s">
        <v>193</v>
      </c>
      <c r="K66">
        <v>49.6</v>
      </c>
      <c r="L66" t="s">
        <v>193</v>
      </c>
      <c r="M66" t="s">
        <v>193</v>
      </c>
      <c r="N66" t="s">
        <v>193</v>
      </c>
      <c r="O66" t="s">
        <v>193</v>
      </c>
      <c r="P66" t="s">
        <v>193</v>
      </c>
    </row>
    <row r="67" spans="1:16" ht="12.75">
      <c r="A67" s="62" t="str">
        <f t="shared" si="1"/>
        <v>Azerbaijan_Poverty headcount ratio at $2 a day (PPP) (% of population)</v>
      </c>
      <c r="B67" t="s">
        <v>444</v>
      </c>
      <c r="C67" t="s">
        <v>205</v>
      </c>
      <c r="D67" t="s">
        <v>410</v>
      </c>
      <c r="E67" t="s">
        <v>411</v>
      </c>
      <c r="F67" t="s">
        <v>193</v>
      </c>
      <c r="G67" t="s">
        <v>193</v>
      </c>
      <c r="H67" t="s">
        <v>193</v>
      </c>
      <c r="I67" t="s">
        <v>193</v>
      </c>
      <c r="J67" t="s">
        <v>193</v>
      </c>
      <c r="K67">
        <v>33.41</v>
      </c>
      <c r="L67" t="s">
        <v>193</v>
      </c>
      <c r="M67" t="s">
        <v>193</v>
      </c>
      <c r="N67" t="s">
        <v>193</v>
      </c>
      <c r="O67" t="s">
        <v>193</v>
      </c>
      <c r="P67" t="s">
        <v>193</v>
      </c>
    </row>
    <row r="68" spans="1:16" ht="12.75">
      <c r="A68" s="62" t="str">
        <f t="shared" si="1"/>
        <v>Azerbaijan_Poverty headcount ratio at $1 a day (PPP) (% of population)</v>
      </c>
      <c r="B68" t="s">
        <v>444</v>
      </c>
      <c r="C68" t="s">
        <v>205</v>
      </c>
      <c r="D68" t="s">
        <v>412</v>
      </c>
      <c r="E68" t="s">
        <v>413</v>
      </c>
      <c r="F68" t="s">
        <v>193</v>
      </c>
      <c r="G68" t="s">
        <v>193</v>
      </c>
      <c r="H68" t="s">
        <v>193</v>
      </c>
      <c r="I68" t="s">
        <v>193</v>
      </c>
      <c r="J68" t="s">
        <v>193</v>
      </c>
      <c r="K68">
        <v>3.67</v>
      </c>
      <c r="L68" t="s">
        <v>193</v>
      </c>
      <c r="M68" t="s">
        <v>193</v>
      </c>
      <c r="N68" t="s">
        <v>193</v>
      </c>
      <c r="O68" t="s">
        <v>193</v>
      </c>
      <c r="P68" t="s">
        <v>193</v>
      </c>
    </row>
    <row r="69" spans="1:16" ht="12.75">
      <c r="A69" s="62" t="str">
        <f t="shared" si="1"/>
        <v>Azerbaijan_Poverty gap at $1 a day (PPP) (%)</v>
      </c>
      <c r="B69" t="s">
        <v>444</v>
      </c>
      <c r="C69" t="s">
        <v>205</v>
      </c>
      <c r="D69" t="s">
        <v>414</v>
      </c>
      <c r="E69" t="s">
        <v>415</v>
      </c>
      <c r="F69" t="s">
        <v>193</v>
      </c>
      <c r="G69" t="s">
        <v>193</v>
      </c>
      <c r="H69" t="s">
        <v>193</v>
      </c>
      <c r="I69" t="s">
        <v>193</v>
      </c>
      <c r="J69" t="s">
        <v>193</v>
      </c>
      <c r="K69">
        <v>0.63</v>
      </c>
      <c r="L69" t="s">
        <v>193</v>
      </c>
      <c r="M69" t="s">
        <v>193</v>
      </c>
      <c r="N69" t="s">
        <v>193</v>
      </c>
      <c r="O69" t="s">
        <v>193</v>
      </c>
      <c r="P69" t="s">
        <v>193</v>
      </c>
    </row>
    <row r="70" spans="1:16" ht="12.75">
      <c r="A70" s="62" t="str">
        <f t="shared" si="1"/>
        <v>Azerbaijan_Poverty gap at $2 a day (PPP) (%)</v>
      </c>
      <c r="B70" t="s">
        <v>444</v>
      </c>
      <c r="C70" t="s">
        <v>205</v>
      </c>
      <c r="D70" t="s">
        <v>416</v>
      </c>
      <c r="E70" t="s">
        <v>417</v>
      </c>
      <c r="F70" t="s">
        <v>193</v>
      </c>
      <c r="G70" t="s">
        <v>193</v>
      </c>
      <c r="H70" t="s">
        <v>193</v>
      </c>
      <c r="I70" t="s">
        <v>193</v>
      </c>
      <c r="J70" t="s">
        <v>193</v>
      </c>
      <c r="K70">
        <v>9.11</v>
      </c>
      <c r="L70" t="s">
        <v>193</v>
      </c>
      <c r="M70" t="s">
        <v>193</v>
      </c>
      <c r="N70" t="s">
        <v>193</v>
      </c>
      <c r="O70" t="s">
        <v>193</v>
      </c>
      <c r="P70" t="s">
        <v>193</v>
      </c>
    </row>
    <row r="71" spans="1:16" ht="12.75">
      <c r="A71" s="62" t="str">
        <f t="shared" si="1"/>
        <v>Azerbaijan_Population, total</v>
      </c>
      <c r="B71" t="s">
        <v>444</v>
      </c>
      <c r="C71" t="s">
        <v>205</v>
      </c>
      <c r="D71" t="s">
        <v>418</v>
      </c>
      <c r="E71" t="s">
        <v>419</v>
      </c>
      <c r="F71">
        <v>7763000</v>
      </c>
      <c r="G71">
        <v>7838000</v>
      </c>
      <c r="H71">
        <v>7913000</v>
      </c>
      <c r="I71">
        <v>7983000</v>
      </c>
      <c r="J71">
        <v>8048534.78590979</v>
      </c>
      <c r="K71">
        <v>8111143.77877744</v>
      </c>
      <c r="L71">
        <v>8171892.8957739</v>
      </c>
      <c r="M71">
        <v>8234039.36412743</v>
      </c>
      <c r="N71">
        <v>8306399.79834826</v>
      </c>
      <c r="O71">
        <v>8388000</v>
      </c>
      <c r="P71">
        <v>8474401.5907762</v>
      </c>
    </row>
    <row r="72" spans="1:16" ht="12.75">
      <c r="A72" s="62" t="str">
        <f t="shared" si="1"/>
        <v>Azerbaijan_Public spending on education, total (% of GDP)</v>
      </c>
      <c r="B72" t="s">
        <v>444</v>
      </c>
      <c r="C72" t="s">
        <v>205</v>
      </c>
      <c r="D72" t="s">
        <v>420</v>
      </c>
      <c r="E72" t="s">
        <v>421</v>
      </c>
      <c r="F72" t="s">
        <v>193</v>
      </c>
      <c r="G72" t="s">
        <v>193</v>
      </c>
      <c r="H72" t="s">
        <v>193</v>
      </c>
      <c r="I72">
        <v>4.212166674484</v>
      </c>
      <c r="J72">
        <v>3.85399460982713</v>
      </c>
      <c r="K72">
        <v>3.50341936683864</v>
      </c>
      <c r="L72">
        <v>3.15448868871868</v>
      </c>
      <c r="M72">
        <v>3.28614953655545</v>
      </c>
      <c r="N72">
        <v>3.28866843636384</v>
      </c>
      <c r="O72">
        <v>2.47645117065452</v>
      </c>
      <c r="P72" t="s">
        <v>193</v>
      </c>
    </row>
    <row r="73" spans="1:16" ht="12.75">
      <c r="A73" s="62" t="str">
        <f t="shared" si="1"/>
        <v>Azerbaijan_Public spending on education, total (% of government expenditure)</v>
      </c>
      <c r="B73" t="s">
        <v>444</v>
      </c>
      <c r="C73" t="s">
        <v>205</v>
      </c>
      <c r="D73" t="s">
        <v>422</v>
      </c>
      <c r="E73" t="s">
        <v>423</v>
      </c>
      <c r="F73" t="s">
        <v>193</v>
      </c>
      <c r="G73" t="s">
        <v>193</v>
      </c>
      <c r="H73" t="s">
        <v>193</v>
      </c>
      <c r="I73">
        <v>24.4094953543679</v>
      </c>
      <c r="J73">
        <v>23.8016003349274</v>
      </c>
      <c r="K73">
        <v>23.0622338826693</v>
      </c>
      <c r="L73">
        <v>20.6797014217554</v>
      </c>
      <c r="M73">
        <v>19.186563124471</v>
      </c>
      <c r="N73" t="s">
        <v>193</v>
      </c>
      <c r="O73">
        <v>19.5783628887722</v>
      </c>
      <c r="P73" t="s">
        <v>193</v>
      </c>
    </row>
    <row r="74" spans="1:16" ht="12.75">
      <c r="A74" s="62" t="str">
        <f t="shared" si="1"/>
        <v>Azerbaijan_Health expenditure, public (% of total health expenditure)</v>
      </c>
      <c r="B74" t="s">
        <v>444</v>
      </c>
      <c r="C74" t="s">
        <v>205</v>
      </c>
      <c r="D74" t="s">
        <v>424</v>
      </c>
      <c r="E74" t="s">
        <v>425</v>
      </c>
      <c r="F74" t="s">
        <v>193</v>
      </c>
      <c r="G74" t="s">
        <v>193</v>
      </c>
      <c r="H74" t="s">
        <v>193</v>
      </c>
      <c r="I74" t="s">
        <v>193</v>
      </c>
      <c r="J74">
        <v>20.8</v>
      </c>
      <c r="K74">
        <v>21.8</v>
      </c>
      <c r="L74">
        <v>19.3</v>
      </c>
      <c r="M74">
        <v>23</v>
      </c>
      <c r="N74">
        <v>25</v>
      </c>
      <c r="O74" t="s">
        <v>193</v>
      </c>
      <c r="P74" t="s">
        <v>193</v>
      </c>
    </row>
    <row r="75" spans="1:16" ht="12.75">
      <c r="A75" s="62" t="str">
        <f t="shared" si="1"/>
        <v>Azerbaijan_Health expenditure, public (% of GDP)</v>
      </c>
      <c r="B75" t="s">
        <v>444</v>
      </c>
      <c r="C75" t="s">
        <v>205</v>
      </c>
      <c r="D75" t="s">
        <v>426</v>
      </c>
      <c r="E75" t="s">
        <v>427</v>
      </c>
      <c r="F75" t="s">
        <v>193</v>
      </c>
      <c r="G75" t="s">
        <v>193</v>
      </c>
      <c r="H75" t="s">
        <v>193</v>
      </c>
      <c r="I75" t="s">
        <v>193</v>
      </c>
      <c r="J75">
        <v>0.8736</v>
      </c>
      <c r="K75">
        <v>0.872</v>
      </c>
      <c r="L75">
        <v>0.7913</v>
      </c>
      <c r="M75">
        <v>0.851</v>
      </c>
      <c r="N75">
        <v>0.9</v>
      </c>
      <c r="O75" t="s">
        <v>193</v>
      </c>
      <c r="P75" t="s">
        <v>193</v>
      </c>
    </row>
    <row r="76" spans="1:16" ht="12.75">
      <c r="A76" s="62" t="str">
        <f t="shared" si="1"/>
        <v>Azerbaijan_Health expenditure, total (% of GDP)</v>
      </c>
      <c r="B76" t="s">
        <v>444</v>
      </c>
      <c r="C76" t="s">
        <v>205</v>
      </c>
      <c r="D76" t="s">
        <v>428</v>
      </c>
      <c r="E76" t="s">
        <v>429</v>
      </c>
      <c r="F76" t="s">
        <v>193</v>
      </c>
      <c r="G76" t="s">
        <v>193</v>
      </c>
      <c r="H76" t="s">
        <v>193</v>
      </c>
      <c r="I76" t="s">
        <v>193</v>
      </c>
      <c r="J76">
        <v>4.2</v>
      </c>
      <c r="K76">
        <v>4</v>
      </c>
      <c r="L76">
        <v>4.1</v>
      </c>
      <c r="M76">
        <v>3.7</v>
      </c>
      <c r="N76">
        <v>3.6</v>
      </c>
      <c r="O76" t="s">
        <v>193</v>
      </c>
      <c r="P76" t="s">
        <v>193</v>
      </c>
    </row>
    <row r="77" spans="1:16" ht="12.75">
      <c r="A77" s="62" t="str">
        <f t="shared" si="1"/>
        <v>Azerbaijan_GDP (current LCU)</v>
      </c>
      <c r="B77" t="s">
        <v>444</v>
      </c>
      <c r="C77" t="s">
        <v>205</v>
      </c>
      <c r="D77" t="s">
        <v>430</v>
      </c>
      <c r="E77" t="s">
        <v>431</v>
      </c>
      <c r="F77">
        <v>2732640000</v>
      </c>
      <c r="G77">
        <v>3158279936</v>
      </c>
      <c r="H77">
        <v>3440620032</v>
      </c>
      <c r="I77">
        <v>3775079936</v>
      </c>
      <c r="J77">
        <v>4718099968</v>
      </c>
      <c r="K77">
        <v>5315599872</v>
      </c>
      <c r="L77">
        <v>6062439936</v>
      </c>
      <c r="M77">
        <v>7146500096</v>
      </c>
      <c r="N77">
        <v>8530200064</v>
      </c>
      <c r="O77">
        <v>12522500096</v>
      </c>
      <c r="P77">
        <v>17735800832</v>
      </c>
    </row>
    <row r="78" spans="1:16" ht="12.75">
      <c r="A78" s="62" t="str">
        <f t="shared" si="1"/>
        <v>Azerbaijan_GDP (current US$)</v>
      </c>
      <c r="B78" t="s">
        <v>444</v>
      </c>
      <c r="C78" t="s">
        <v>205</v>
      </c>
      <c r="D78" t="s">
        <v>432</v>
      </c>
      <c r="E78" t="s">
        <v>433</v>
      </c>
      <c r="F78">
        <v>3176749568</v>
      </c>
      <c r="G78">
        <v>3962710272</v>
      </c>
      <c r="H78">
        <v>4446396416</v>
      </c>
      <c r="I78">
        <v>4581222400</v>
      </c>
      <c r="J78">
        <v>5272616960</v>
      </c>
      <c r="K78">
        <v>5707618304</v>
      </c>
      <c r="L78">
        <v>6236024832</v>
      </c>
      <c r="M78">
        <v>7275766272</v>
      </c>
      <c r="N78">
        <v>8680410112</v>
      </c>
      <c r="O78">
        <v>13245421568</v>
      </c>
      <c r="P78">
        <v>20121612288</v>
      </c>
    </row>
    <row r="79" spans="1:16" ht="12.75">
      <c r="A79" s="62" t="str">
        <f t="shared" si="1"/>
        <v>Azerbaijan_GDP per capita, PPP (current international $)</v>
      </c>
      <c r="B79" t="s">
        <v>444</v>
      </c>
      <c r="C79" t="s">
        <v>205</v>
      </c>
      <c r="D79" t="s">
        <v>434</v>
      </c>
      <c r="E79" t="s">
        <v>435</v>
      </c>
      <c r="F79">
        <v>1734.39507283747</v>
      </c>
      <c r="G79">
        <v>1847.78892310472</v>
      </c>
      <c r="H79">
        <v>2035.67143820878</v>
      </c>
      <c r="I79">
        <v>2198.45416828739</v>
      </c>
      <c r="J79">
        <v>2475.40383082029</v>
      </c>
      <c r="K79">
        <v>2764.49488416694</v>
      </c>
      <c r="L79">
        <v>3087.91269396369</v>
      </c>
      <c r="M79">
        <v>3477.20027808823</v>
      </c>
      <c r="N79">
        <v>3898.16584058523</v>
      </c>
      <c r="O79">
        <v>5026.53104450405</v>
      </c>
      <c r="P79">
        <v>6887.69927259909</v>
      </c>
    </row>
    <row r="80" spans="1:16" ht="12.75">
      <c r="A80" s="62" t="str">
        <f t="shared" si="1"/>
        <v>Azerbaijan_GDP per capita, PPP (constant 2000 international $)</v>
      </c>
      <c r="B80" t="s">
        <v>444</v>
      </c>
      <c r="C80" t="s">
        <v>205</v>
      </c>
      <c r="D80" t="s">
        <v>436</v>
      </c>
      <c r="E80" t="s">
        <v>437</v>
      </c>
      <c r="F80">
        <v>1848.1474886414</v>
      </c>
      <c r="G80">
        <v>1936.62985703636</v>
      </c>
      <c r="H80">
        <v>2110.10164717105</v>
      </c>
      <c r="I80">
        <v>2246.37728865549</v>
      </c>
      <c r="J80">
        <v>2475.40383082029</v>
      </c>
      <c r="K80">
        <v>2699.46984097475</v>
      </c>
      <c r="L80">
        <v>2963.4189696478</v>
      </c>
      <c r="M80">
        <v>3270.45053312107</v>
      </c>
      <c r="N80">
        <v>3572.64021570708</v>
      </c>
      <c r="O80">
        <v>4471.88631641086</v>
      </c>
      <c r="P80">
        <v>5953.36399979945</v>
      </c>
    </row>
    <row r="81" spans="1:16" ht="12.75">
      <c r="A81" s="62" t="str">
        <f t="shared" si="1"/>
        <v>Azerbaijan_GINI index</v>
      </c>
      <c r="B81" t="s">
        <v>444</v>
      </c>
      <c r="C81" t="s">
        <v>205</v>
      </c>
      <c r="D81" t="s">
        <v>438</v>
      </c>
      <c r="E81" t="s">
        <v>439</v>
      </c>
      <c r="F81" t="s">
        <v>193</v>
      </c>
      <c r="G81" t="s">
        <v>193</v>
      </c>
      <c r="H81" t="s">
        <v>193</v>
      </c>
      <c r="I81" t="s">
        <v>193</v>
      </c>
      <c r="J81" t="s">
        <v>193</v>
      </c>
      <c r="K81">
        <v>36.5</v>
      </c>
      <c r="L81" t="s">
        <v>193</v>
      </c>
      <c r="M81" t="s">
        <v>193</v>
      </c>
      <c r="N81" t="s">
        <v>193</v>
      </c>
      <c r="O81" t="s">
        <v>193</v>
      </c>
      <c r="P81" t="s">
        <v>193</v>
      </c>
    </row>
    <row r="82" spans="1:16" ht="12.75">
      <c r="A82" s="62" t="str">
        <f t="shared" si="1"/>
        <v>Bahrain_Poverty headcount ratio at national poverty line (% of population)</v>
      </c>
      <c r="B82" t="s">
        <v>445</v>
      </c>
      <c r="C82" t="s">
        <v>197</v>
      </c>
      <c r="D82" t="s">
        <v>408</v>
      </c>
      <c r="E82" t="s">
        <v>409</v>
      </c>
      <c r="F82" t="s">
        <v>193</v>
      </c>
      <c r="G82" t="s">
        <v>193</v>
      </c>
      <c r="H82" t="s">
        <v>193</v>
      </c>
      <c r="I82" t="s">
        <v>193</v>
      </c>
      <c r="J82" t="s">
        <v>193</v>
      </c>
      <c r="K82" t="s">
        <v>193</v>
      </c>
      <c r="L82" t="s">
        <v>193</v>
      </c>
      <c r="M82" t="s">
        <v>193</v>
      </c>
      <c r="N82" t="s">
        <v>193</v>
      </c>
      <c r="O82" t="s">
        <v>193</v>
      </c>
      <c r="P82" t="s">
        <v>193</v>
      </c>
    </row>
    <row r="83" spans="1:16" ht="12.75">
      <c r="A83" s="62" t="str">
        <f t="shared" si="1"/>
        <v>Bahrain_Poverty headcount ratio at $2 a day (PPP) (% of population)</v>
      </c>
      <c r="B83" t="s">
        <v>445</v>
      </c>
      <c r="C83" t="s">
        <v>197</v>
      </c>
      <c r="D83" t="s">
        <v>410</v>
      </c>
      <c r="E83" t="s">
        <v>411</v>
      </c>
      <c r="F83" t="s">
        <v>193</v>
      </c>
      <c r="G83" t="s">
        <v>193</v>
      </c>
      <c r="H83" t="s">
        <v>193</v>
      </c>
      <c r="I83" t="s">
        <v>193</v>
      </c>
      <c r="J83" t="s">
        <v>193</v>
      </c>
      <c r="K83" t="s">
        <v>193</v>
      </c>
      <c r="L83" t="s">
        <v>193</v>
      </c>
      <c r="M83" t="s">
        <v>193</v>
      </c>
      <c r="N83" t="s">
        <v>193</v>
      </c>
      <c r="O83" t="s">
        <v>193</v>
      </c>
      <c r="P83" t="s">
        <v>193</v>
      </c>
    </row>
    <row r="84" spans="1:16" ht="12.75">
      <c r="A84" s="62" t="str">
        <f t="shared" si="1"/>
        <v>Bahrain_Poverty headcount ratio at $1 a day (PPP) (% of population)</v>
      </c>
      <c r="B84" t="s">
        <v>445</v>
      </c>
      <c r="C84" t="s">
        <v>197</v>
      </c>
      <c r="D84" t="s">
        <v>412</v>
      </c>
      <c r="E84" t="s">
        <v>413</v>
      </c>
      <c r="F84" t="s">
        <v>193</v>
      </c>
      <c r="G84" t="s">
        <v>193</v>
      </c>
      <c r="H84" t="s">
        <v>193</v>
      </c>
      <c r="I84" t="s">
        <v>193</v>
      </c>
      <c r="J84" t="s">
        <v>193</v>
      </c>
      <c r="K84" t="s">
        <v>193</v>
      </c>
      <c r="L84" t="s">
        <v>193</v>
      </c>
      <c r="M84" t="s">
        <v>193</v>
      </c>
      <c r="N84" t="s">
        <v>193</v>
      </c>
      <c r="O84" t="s">
        <v>193</v>
      </c>
      <c r="P84" t="s">
        <v>193</v>
      </c>
    </row>
    <row r="85" spans="1:16" ht="12.75">
      <c r="A85" s="62" t="str">
        <f t="shared" si="1"/>
        <v>Bahrain_Poverty gap at $1 a day (PPP) (%)</v>
      </c>
      <c r="B85" t="s">
        <v>445</v>
      </c>
      <c r="C85" t="s">
        <v>197</v>
      </c>
      <c r="D85" t="s">
        <v>414</v>
      </c>
      <c r="E85" t="s">
        <v>415</v>
      </c>
      <c r="F85" t="s">
        <v>193</v>
      </c>
      <c r="G85" t="s">
        <v>193</v>
      </c>
      <c r="H85" t="s">
        <v>193</v>
      </c>
      <c r="I85" t="s">
        <v>193</v>
      </c>
      <c r="J85" t="s">
        <v>193</v>
      </c>
      <c r="K85" t="s">
        <v>193</v>
      </c>
      <c r="L85" t="s">
        <v>193</v>
      </c>
      <c r="M85" t="s">
        <v>193</v>
      </c>
      <c r="N85" t="s">
        <v>193</v>
      </c>
      <c r="O85" t="s">
        <v>193</v>
      </c>
      <c r="P85" t="s">
        <v>193</v>
      </c>
    </row>
    <row r="86" spans="1:16" ht="12.75">
      <c r="A86" s="62" t="str">
        <f t="shared" si="1"/>
        <v>Bahrain_Poverty gap at $2 a day (PPP) (%)</v>
      </c>
      <c r="B86" t="s">
        <v>445</v>
      </c>
      <c r="C86" t="s">
        <v>197</v>
      </c>
      <c r="D86" t="s">
        <v>416</v>
      </c>
      <c r="E86" t="s">
        <v>417</v>
      </c>
      <c r="F86" t="s">
        <v>193</v>
      </c>
      <c r="G86" t="s">
        <v>193</v>
      </c>
      <c r="H86" t="s">
        <v>193</v>
      </c>
      <c r="I86" t="s">
        <v>193</v>
      </c>
      <c r="J86" t="s">
        <v>193</v>
      </c>
      <c r="K86" t="s">
        <v>193</v>
      </c>
      <c r="L86" t="s">
        <v>193</v>
      </c>
      <c r="M86" t="s">
        <v>193</v>
      </c>
      <c r="N86" t="s">
        <v>193</v>
      </c>
      <c r="O86" t="s">
        <v>193</v>
      </c>
      <c r="P86" t="s">
        <v>193</v>
      </c>
    </row>
    <row r="87" spans="1:16" ht="12.75">
      <c r="A87" s="62" t="str">
        <f t="shared" si="1"/>
        <v>Bahrain_Population, total</v>
      </c>
      <c r="B87" t="s">
        <v>445</v>
      </c>
      <c r="C87" t="s">
        <v>197</v>
      </c>
      <c r="D87" t="s">
        <v>418</v>
      </c>
      <c r="E87" t="s">
        <v>419</v>
      </c>
      <c r="F87">
        <v>603004</v>
      </c>
      <c r="G87">
        <v>621828</v>
      </c>
      <c r="H87">
        <v>640068</v>
      </c>
      <c r="I87">
        <v>656961</v>
      </c>
      <c r="J87">
        <v>672008</v>
      </c>
      <c r="K87">
        <v>684908</v>
      </c>
      <c r="L87">
        <v>695931</v>
      </c>
      <c r="M87">
        <v>705862</v>
      </c>
      <c r="N87">
        <v>715820</v>
      </c>
      <c r="O87">
        <v>726617</v>
      </c>
      <c r="P87">
        <v>739619.82573237</v>
      </c>
    </row>
    <row r="88" spans="1:16" ht="12.75">
      <c r="A88" s="62" t="str">
        <f t="shared" si="1"/>
        <v>Bahrain_Public spending on education, total (% of GDP)</v>
      </c>
      <c r="B88" t="s">
        <v>445</v>
      </c>
      <c r="C88" t="s">
        <v>197</v>
      </c>
      <c r="D88" t="s">
        <v>420</v>
      </c>
      <c r="E88" t="s">
        <v>421</v>
      </c>
      <c r="F88" t="s">
        <v>193</v>
      </c>
      <c r="G88" t="s">
        <v>193</v>
      </c>
      <c r="H88" t="s">
        <v>193</v>
      </c>
      <c r="I88" t="s">
        <v>193</v>
      </c>
      <c r="J88" t="s">
        <v>193</v>
      </c>
      <c r="K88" t="s">
        <v>193</v>
      </c>
      <c r="L88" t="s">
        <v>193</v>
      </c>
      <c r="M88" t="s">
        <v>193</v>
      </c>
      <c r="N88" t="s">
        <v>193</v>
      </c>
      <c r="O88" t="s">
        <v>193</v>
      </c>
      <c r="P88" t="s">
        <v>193</v>
      </c>
    </row>
    <row r="89" spans="1:16" ht="12.75">
      <c r="A89" s="62" t="str">
        <f t="shared" si="1"/>
        <v>Bahrain_Public spending on education, total (% of government expenditure)</v>
      </c>
      <c r="B89" t="s">
        <v>445</v>
      </c>
      <c r="C89" t="s">
        <v>197</v>
      </c>
      <c r="D89" t="s">
        <v>422</v>
      </c>
      <c r="E89" t="s">
        <v>423</v>
      </c>
      <c r="F89" t="s">
        <v>193</v>
      </c>
      <c r="G89" t="s">
        <v>193</v>
      </c>
      <c r="H89" t="s">
        <v>193</v>
      </c>
      <c r="I89" t="s">
        <v>193</v>
      </c>
      <c r="J89" t="s">
        <v>193</v>
      </c>
      <c r="K89" t="s">
        <v>193</v>
      </c>
      <c r="L89" t="s">
        <v>193</v>
      </c>
      <c r="M89" t="s">
        <v>193</v>
      </c>
      <c r="N89" t="s">
        <v>193</v>
      </c>
      <c r="O89" t="s">
        <v>193</v>
      </c>
      <c r="P89" t="s">
        <v>193</v>
      </c>
    </row>
    <row r="90" spans="1:16" ht="12.75">
      <c r="A90" s="62" t="str">
        <f t="shared" si="1"/>
        <v>Bahrain_Health expenditure, public (% of total health expenditure)</v>
      </c>
      <c r="B90" t="s">
        <v>445</v>
      </c>
      <c r="C90" t="s">
        <v>197</v>
      </c>
      <c r="D90" t="s">
        <v>424</v>
      </c>
      <c r="E90" t="s">
        <v>425</v>
      </c>
      <c r="F90" t="s">
        <v>193</v>
      </c>
      <c r="G90" t="s">
        <v>193</v>
      </c>
      <c r="H90" t="s">
        <v>193</v>
      </c>
      <c r="I90" t="s">
        <v>193</v>
      </c>
      <c r="J90">
        <v>67.5</v>
      </c>
      <c r="K90">
        <v>67</v>
      </c>
      <c r="L90">
        <v>66.6</v>
      </c>
      <c r="M90">
        <v>66.9</v>
      </c>
      <c r="N90">
        <v>67.2</v>
      </c>
      <c r="O90" t="s">
        <v>193</v>
      </c>
      <c r="P90" t="s">
        <v>193</v>
      </c>
    </row>
    <row r="91" spans="1:16" ht="12.75">
      <c r="A91" s="62" t="str">
        <f t="shared" si="1"/>
        <v>Bahrain_Health expenditure, public (% of GDP)</v>
      </c>
      <c r="B91" t="s">
        <v>445</v>
      </c>
      <c r="C91" t="s">
        <v>197</v>
      </c>
      <c r="D91" t="s">
        <v>426</v>
      </c>
      <c r="E91" t="s">
        <v>427</v>
      </c>
      <c r="F91" t="s">
        <v>193</v>
      </c>
      <c r="G91" t="s">
        <v>193</v>
      </c>
      <c r="H91" t="s">
        <v>193</v>
      </c>
      <c r="I91" t="s">
        <v>193</v>
      </c>
      <c r="J91">
        <v>2.7</v>
      </c>
      <c r="K91">
        <v>2.881</v>
      </c>
      <c r="L91">
        <v>2.9304</v>
      </c>
      <c r="M91">
        <v>2.8767</v>
      </c>
      <c r="N91">
        <v>2.688</v>
      </c>
      <c r="O91" t="s">
        <v>193</v>
      </c>
      <c r="P91" t="s">
        <v>193</v>
      </c>
    </row>
    <row r="92" spans="1:16" ht="12.75">
      <c r="A92" s="62" t="str">
        <f t="shared" si="1"/>
        <v>Bahrain_Health expenditure, total (% of GDP)</v>
      </c>
      <c r="B92" t="s">
        <v>445</v>
      </c>
      <c r="C92" t="s">
        <v>197</v>
      </c>
      <c r="D92" t="s">
        <v>428</v>
      </c>
      <c r="E92" t="s">
        <v>429</v>
      </c>
      <c r="F92" t="s">
        <v>193</v>
      </c>
      <c r="G92" t="s">
        <v>193</v>
      </c>
      <c r="H92" t="s">
        <v>193</v>
      </c>
      <c r="I92" t="s">
        <v>193</v>
      </c>
      <c r="J92">
        <v>4</v>
      </c>
      <c r="K92">
        <v>4.3</v>
      </c>
      <c r="L92">
        <v>4.4</v>
      </c>
      <c r="M92">
        <v>4.3</v>
      </c>
      <c r="N92">
        <v>4</v>
      </c>
      <c r="O92" t="s">
        <v>193</v>
      </c>
      <c r="P92" t="s">
        <v>193</v>
      </c>
    </row>
    <row r="93" spans="1:16" ht="12.75">
      <c r="A93" s="62" t="str">
        <f t="shared" si="1"/>
        <v>Bahrain_GDP (current LCU)</v>
      </c>
      <c r="B93" t="s">
        <v>445</v>
      </c>
      <c r="C93" t="s">
        <v>197</v>
      </c>
      <c r="D93" t="s">
        <v>430</v>
      </c>
      <c r="E93" t="s">
        <v>431</v>
      </c>
      <c r="F93">
        <v>2294299904</v>
      </c>
      <c r="G93">
        <v>2387300096</v>
      </c>
      <c r="H93">
        <v>2325100032</v>
      </c>
      <c r="I93">
        <v>2489499904</v>
      </c>
      <c r="J93">
        <v>2996900096</v>
      </c>
      <c r="K93">
        <v>2981199872</v>
      </c>
      <c r="L93">
        <v>3176499968</v>
      </c>
      <c r="M93">
        <v>3646899968</v>
      </c>
      <c r="N93">
        <v>4140499968</v>
      </c>
      <c r="O93">
        <v>4855699968</v>
      </c>
      <c r="P93" t="s">
        <v>193</v>
      </c>
    </row>
    <row r="94" spans="1:16" ht="12.75">
      <c r="A94" s="62" t="str">
        <f t="shared" si="1"/>
        <v>Bahrain_GDP (current US$)</v>
      </c>
      <c r="B94" t="s">
        <v>445</v>
      </c>
      <c r="C94" t="s">
        <v>197</v>
      </c>
      <c r="D94" t="s">
        <v>432</v>
      </c>
      <c r="E94" t="s">
        <v>433</v>
      </c>
      <c r="F94">
        <v>6101861888</v>
      </c>
      <c r="G94">
        <v>6349202432</v>
      </c>
      <c r="H94">
        <v>6183941120</v>
      </c>
      <c r="I94">
        <v>6621186560</v>
      </c>
      <c r="J94">
        <v>7970691072</v>
      </c>
      <c r="K94">
        <v>7928934400</v>
      </c>
      <c r="L94">
        <v>8448363008</v>
      </c>
      <c r="M94">
        <v>9699460096</v>
      </c>
      <c r="N94">
        <v>11012260864</v>
      </c>
      <c r="O94">
        <v>12914439168</v>
      </c>
      <c r="P94" t="s">
        <v>193</v>
      </c>
    </row>
    <row r="95" spans="1:16" ht="12.75">
      <c r="A95" s="62" t="str">
        <f t="shared" si="1"/>
        <v>Bahrain_GDP per capita, PPP (current international $)</v>
      </c>
      <c r="B95" t="s">
        <v>445</v>
      </c>
      <c r="C95" t="s">
        <v>197</v>
      </c>
      <c r="D95" t="s">
        <v>434</v>
      </c>
      <c r="E95" t="s">
        <v>435</v>
      </c>
      <c r="F95">
        <v>13702.7566100378</v>
      </c>
      <c r="G95">
        <v>13927.7630509339</v>
      </c>
      <c r="H95">
        <v>14336.5270409393</v>
      </c>
      <c r="I95">
        <v>14779.0048664541</v>
      </c>
      <c r="J95">
        <v>15545.4745634315</v>
      </c>
      <c r="K95">
        <v>16338.6121429423</v>
      </c>
      <c r="L95">
        <v>17221.8276810007</v>
      </c>
      <c r="M95">
        <v>18572.5095890859</v>
      </c>
      <c r="N95">
        <v>19809.6154288167</v>
      </c>
      <c r="O95">
        <v>21491.099506874</v>
      </c>
      <c r="P95" t="s">
        <v>193</v>
      </c>
    </row>
    <row r="96" spans="1:16" ht="12.75">
      <c r="A96" s="62" t="str">
        <f t="shared" si="1"/>
        <v>Bahrain_GDP per capita, PPP (constant 2000 international $)</v>
      </c>
      <c r="B96" t="s">
        <v>445</v>
      </c>
      <c r="C96" t="s">
        <v>197</v>
      </c>
      <c r="D96" t="s">
        <v>436</v>
      </c>
      <c r="E96" t="s">
        <v>437</v>
      </c>
      <c r="F96">
        <v>14601.4686116897</v>
      </c>
      <c r="G96">
        <v>14597.4041888105</v>
      </c>
      <c r="H96">
        <v>14860.7131563516</v>
      </c>
      <c r="I96">
        <v>15101.1657917772</v>
      </c>
      <c r="J96">
        <v>15545.4745634315</v>
      </c>
      <c r="K96">
        <v>15954.3036146899</v>
      </c>
      <c r="L96">
        <v>16527.5044665765</v>
      </c>
      <c r="M96">
        <v>17468.2126507874</v>
      </c>
      <c r="N96">
        <v>18155.3663012082</v>
      </c>
      <c r="O96">
        <v>19119.6976520209</v>
      </c>
      <c r="P96" t="s">
        <v>193</v>
      </c>
    </row>
    <row r="97" spans="1:16" ht="12.75">
      <c r="A97" s="62" t="str">
        <f t="shared" si="1"/>
        <v>Bahrain_GINI index</v>
      </c>
      <c r="B97" t="s">
        <v>445</v>
      </c>
      <c r="C97" t="s">
        <v>197</v>
      </c>
      <c r="D97" t="s">
        <v>438</v>
      </c>
      <c r="E97" t="s">
        <v>439</v>
      </c>
      <c r="F97" t="s">
        <v>193</v>
      </c>
      <c r="G97" t="s">
        <v>193</v>
      </c>
      <c r="H97" t="s">
        <v>193</v>
      </c>
      <c r="I97" t="s">
        <v>193</v>
      </c>
      <c r="J97" t="s">
        <v>193</v>
      </c>
      <c r="K97" t="s">
        <v>193</v>
      </c>
      <c r="L97" t="s">
        <v>193</v>
      </c>
      <c r="M97" t="s">
        <v>193</v>
      </c>
      <c r="N97" t="s">
        <v>193</v>
      </c>
      <c r="O97" t="s">
        <v>193</v>
      </c>
      <c r="P97" t="s">
        <v>193</v>
      </c>
    </row>
    <row r="98" spans="1:16" ht="12.75">
      <c r="A98" s="62" t="str">
        <f t="shared" si="1"/>
        <v>Bangladesh_Poverty headcount ratio at national poverty line (% of population)</v>
      </c>
      <c r="B98" t="s">
        <v>446</v>
      </c>
      <c r="C98" t="s">
        <v>234</v>
      </c>
      <c r="D98" t="s">
        <v>408</v>
      </c>
      <c r="E98" t="s">
        <v>409</v>
      </c>
      <c r="F98">
        <v>51</v>
      </c>
      <c r="G98" t="s">
        <v>193</v>
      </c>
      <c r="H98" t="s">
        <v>193</v>
      </c>
      <c r="I98" t="s">
        <v>193</v>
      </c>
      <c r="J98">
        <v>49.8</v>
      </c>
      <c r="K98" t="s">
        <v>193</v>
      </c>
      <c r="L98" t="s">
        <v>193</v>
      </c>
      <c r="M98" t="s">
        <v>193</v>
      </c>
      <c r="N98" t="s">
        <v>193</v>
      </c>
      <c r="O98" t="s">
        <v>193</v>
      </c>
      <c r="P98" t="s">
        <v>193</v>
      </c>
    </row>
    <row r="99" spans="1:16" ht="12.75">
      <c r="A99" s="62" t="str">
        <f t="shared" si="1"/>
        <v>Bangladesh_Poverty headcount ratio at $2 a day (PPP) (% of population)</v>
      </c>
      <c r="B99" t="s">
        <v>446</v>
      </c>
      <c r="C99" t="s">
        <v>234</v>
      </c>
      <c r="D99" t="s">
        <v>410</v>
      </c>
      <c r="E99" t="s">
        <v>411</v>
      </c>
      <c r="F99">
        <v>79.3</v>
      </c>
      <c r="G99" t="s">
        <v>193</v>
      </c>
      <c r="H99" t="s">
        <v>193</v>
      </c>
      <c r="I99" t="s">
        <v>193</v>
      </c>
      <c r="J99">
        <v>84</v>
      </c>
      <c r="K99" t="s">
        <v>193</v>
      </c>
      <c r="L99" t="s">
        <v>193</v>
      </c>
      <c r="M99" t="s">
        <v>193</v>
      </c>
      <c r="N99" t="s">
        <v>193</v>
      </c>
      <c r="O99" t="s">
        <v>193</v>
      </c>
      <c r="P99" t="s">
        <v>193</v>
      </c>
    </row>
    <row r="100" spans="1:16" ht="12.75">
      <c r="A100" s="62" t="str">
        <f t="shared" si="1"/>
        <v>Bangladesh_Poverty headcount ratio at $1 a day (PPP) (% of population)</v>
      </c>
      <c r="B100" t="s">
        <v>446</v>
      </c>
      <c r="C100" t="s">
        <v>234</v>
      </c>
      <c r="D100" t="s">
        <v>412</v>
      </c>
      <c r="E100" t="s">
        <v>413</v>
      </c>
      <c r="F100">
        <v>28.61</v>
      </c>
      <c r="G100" t="s">
        <v>193</v>
      </c>
      <c r="H100" t="s">
        <v>193</v>
      </c>
      <c r="I100" t="s">
        <v>193</v>
      </c>
      <c r="J100">
        <v>41.3</v>
      </c>
      <c r="K100" t="s">
        <v>193</v>
      </c>
      <c r="L100" t="s">
        <v>193</v>
      </c>
      <c r="M100" t="s">
        <v>193</v>
      </c>
      <c r="N100" t="s">
        <v>193</v>
      </c>
      <c r="O100" t="s">
        <v>193</v>
      </c>
      <c r="P100" t="s">
        <v>193</v>
      </c>
    </row>
    <row r="101" spans="1:16" ht="12.75">
      <c r="A101" s="62" t="str">
        <f t="shared" si="1"/>
        <v>Bangladesh_Poverty gap at $1 a day (PPP) (%)</v>
      </c>
      <c r="B101" t="s">
        <v>446</v>
      </c>
      <c r="C101" t="s">
        <v>234</v>
      </c>
      <c r="D101" t="s">
        <v>414</v>
      </c>
      <c r="E101" t="s">
        <v>415</v>
      </c>
      <c r="F101">
        <v>6.04</v>
      </c>
      <c r="G101" t="s">
        <v>193</v>
      </c>
      <c r="H101" t="s">
        <v>193</v>
      </c>
      <c r="I101" t="s">
        <v>193</v>
      </c>
      <c r="J101">
        <v>10.3</v>
      </c>
      <c r="K101" t="s">
        <v>193</v>
      </c>
      <c r="L101" t="s">
        <v>193</v>
      </c>
      <c r="M101" t="s">
        <v>193</v>
      </c>
      <c r="N101" t="s">
        <v>193</v>
      </c>
      <c r="O101" t="s">
        <v>193</v>
      </c>
      <c r="P101" t="s">
        <v>193</v>
      </c>
    </row>
    <row r="102" spans="1:16" ht="12.75">
      <c r="A102" s="62" t="str">
        <f t="shared" si="1"/>
        <v>Bangladesh_Poverty gap at $2 a day (PPP) (%)</v>
      </c>
      <c r="B102" t="s">
        <v>446</v>
      </c>
      <c r="C102" t="s">
        <v>234</v>
      </c>
      <c r="D102" t="s">
        <v>416</v>
      </c>
      <c r="E102" t="s">
        <v>417</v>
      </c>
      <c r="F102">
        <v>32.28</v>
      </c>
      <c r="G102" t="s">
        <v>193</v>
      </c>
      <c r="H102" t="s">
        <v>193</v>
      </c>
      <c r="I102" t="s">
        <v>193</v>
      </c>
      <c r="J102">
        <v>38.3</v>
      </c>
      <c r="K102" t="s">
        <v>193</v>
      </c>
      <c r="L102" t="s">
        <v>193</v>
      </c>
      <c r="M102" t="s">
        <v>193</v>
      </c>
      <c r="N102" t="s">
        <v>193</v>
      </c>
      <c r="O102" t="s">
        <v>193</v>
      </c>
      <c r="P102" t="s">
        <v>193</v>
      </c>
    </row>
    <row r="103" spans="1:16" ht="12.75">
      <c r="A103" s="62" t="str">
        <f t="shared" si="1"/>
        <v>Bangladesh_Population, total</v>
      </c>
      <c r="B103" t="s">
        <v>446</v>
      </c>
      <c r="C103" t="s">
        <v>234</v>
      </c>
      <c r="D103" t="s">
        <v>418</v>
      </c>
      <c r="E103" t="s">
        <v>419</v>
      </c>
      <c r="F103">
        <v>118946194</v>
      </c>
      <c r="G103">
        <v>121426310</v>
      </c>
      <c r="H103">
        <v>123904806</v>
      </c>
      <c r="I103">
        <v>126397562</v>
      </c>
      <c r="J103">
        <v>128915876</v>
      </c>
      <c r="K103">
        <v>131461422</v>
      </c>
      <c r="L103">
        <v>134029083</v>
      </c>
      <c r="M103">
        <v>136615323</v>
      </c>
      <c r="N103">
        <v>139214532</v>
      </c>
      <c r="O103">
        <v>141822276</v>
      </c>
      <c r="P103">
        <v>144345057.842257</v>
      </c>
    </row>
    <row r="104" spans="1:16" ht="12.75">
      <c r="A104" s="62" t="str">
        <f t="shared" si="1"/>
        <v>Bangladesh_Public spending on education, total (% of GDP)</v>
      </c>
      <c r="B104" t="s">
        <v>446</v>
      </c>
      <c r="C104" t="s">
        <v>234</v>
      </c>
      <c r="D104" t="s">
        <v>420</v>
      </c>
      <c r="E104" t="s">
        <v>421</v>
      </c>
      <c r="F104" t="s">
        <v>193</v>
      </c>
      <c r="G104" t="s">
        <v>193</v>
      </c>
      <c r="H104" t="s">
        <v>193</v>
      </c>
      <c r="I104">
        <v>2.41786543257187</v>
      </c>
      <c r="J104">
        <v>2.4719117312</v>
      </c>
      <c r="K104">
        <v>2.5492622361</v>
      </c>
      <c r="L104">
        <v>2.3178005089</v>
      </c>
      <c r="M104">
        <v>2.3805540798</v>
      </c>
      <c r="N104">
        <v>2.2482858695</v>
      </c>
      <c r="O104">
        <v>2.4700582527</v>
      </c>
      <c r="P104" t="s">
        <v>193</v>
      </c>
    </row>
    <row r="105" spans="1:16" ht="12.75">
      <c r="A105" s="62" t="str">
        <f t="shared" si="1"/>
        <v>Bangladesh_Public spending on education, total (% of government expenditure)</v>
      </c>
      <c r="B105" t="s">
        <v>446</v>
      </c>
      <c r="C105" t="s">
        <v>234</v>
      </c>
      <c r="D105" t="s">
        <v>422</v>
      </c>
      <c r="E105" t="s">
        <v>423</v>
      </c>
      <c r="F105" t="s">
        <v>193</v>
      </c>
      <c r="G105" t="s">
        <v>193</v>
      </c>
      <c r="H105" t="s">
        <v>193</v>
      </c>
      <c r="I105">
        <v>15.3299999999754</v>
      </c>
      <c r="J105">
        <v>14.991128663</v>
      </c>
      <c r="K105">
        <v>15.7048986077</v>
      </c>
      <c r="L105">
        <v>15.7597910387</v>
      </c>
      <c r="M105">
        <v>15.4956994115</v>
      </c>
      <c r="N105">
        <v>14.8310469013</v>
      </c>
      <c r="O105">
        <v>14.2441992391</v>
      </c>
      <c r="P105" t="s">
        <v>193</v>
      </c>
    </row>
    <row r="106" spans="1:16" ht="12.75">
      <c r="A106" s="62" t="str">
        <f t="shared" si="1"/>
        <v>Bangladesh_Health expenditure, public (% of total health expenditure)</v>
      </c>
      <c r="B106" t="s">
        <v>446</v>
      </c>
      <c r="C106" t="s">
        <v>234</v>
      </c>
      <c r="D106" t="s">
        <v>424</v>
      </c>
      <c r="E106" t="s">
        <v>425</v>
      </c>
      <c r="F106" t="s">
        <v>193</v>
      </c>
      <c r="G106" t="s">
        <v>193</v>
      </c>
      <c r="H106" t="s">
        <v>193</v>
      </c>
      <c r="I106" t="s">
        <v>193</v>
      </c>
      <c r="J106">
        <v>25.4</v>
      </c>
      <c r="K106">
        <v>25.6</v>
      </c>
      <c r="L106">
        <v>25.4</v>
      </c>
      <c r="M106">
        <v>27.8</v>
      </c>
      <c r="N106">
        <v>28.1</v>
      </c>
      <c r="O106" t="s">
        <v>193</v>
      </c>
      <c r="P106" t="s">
        <v>193</v>
      </c>
    </row>
    <row r="107" spans="1:16" ht="12.75">
      <c r="A107" s="62" t="str">
        <f t="shared" si="1"/>
        <v>Bangladesh_Health expenditure, public (% of GDP)</v>
      </c>
      <c r="B107" t="s">
        <v>446</v>
      </c>
      <c r="C107" t="s">
        <v>234</v>
      </c>
      <c r="D107" t="s">
        <v>426</v>
      </c>
      <c r="E107" t="s">
        <v>427</v>
      </c>
      <c r="F107" t="s">
        <v>193</v>
      </c>
      <c r="G107" t="s">
        <v>193</v>
      </c>
      <c r="H107" t="s">
        <v>193</v>
      </c>
      <c r="I107" t="s">
        <v>193</v>
      </c>
      <c r="J107">
        <v>0.7874</v>
      </c>
      <c r="K107">
        <v>0.7936</v>
      </c>
      <c r="L107">
        <v>0.762</v>
      </c>
      <c r="M107">
        <v>0.8618</v>
      </c>
      <c r="N107">
        <v>0.8711</v>
      </c>
      <c r="O107" t="s">
        <v>193</v>
      </c>
      <c r="P107" t="s">
        <v>193</v>
      </c>
    </row>
    <row r="108" spans="1:16" ht="12.75">
      <c r="A108" s="62" t="str">
        <f t="shared" si="1"/>
        <v>Bangladesh_Health expenditure, total (% of GDP)</v>
      </c>
      <c r="B108" t="s">
        <v>446</v>
      </c>
      <c r="C108" t="s">
        <v>234</v>
      </c>
      <c r="D108" t="s">
        <v>428</v>
      </c>
      <c r="E108" t="s">
        <v>429</v>
      </c>
      <c r="F108" t="s">
        <v>193</v>
      </c>
      <c r="G108" t="s">
        <v>193</v>
      </c>
      <c r="H108" t="s">
        <v>193</v>
      </c>
      <c r="I108" t="s">
        <v>193</v>
      </c>
      <c r="J108">
        <v>3.1</v>
      </c>
      <c r="K108">
        <v>3.1</v>
      </c>
      <c r="L108">
        <v>3</v>
      </c>
      <c r="M108">
        <v>3.1</v>
      </c>
      <c r="N108">
        <v>3.1</v>
      </c>
      <c r="O108" t="s">
        <v>193</v>
      </c>
      <c r="P108" t="s">
        <v>193</v>
      </c>
    </row>
    <row r="109" spans="1:16" ht="12.75">
      <c r="A109" s="62" t="str">
        <f t="shared" si="1"/>
        <v>Bangladesh_GDP (current LCU)</v>
      </c>
      <c r="B109" t="s">
        <v>446</v>
      </c>
      <c r="C109" t="s">
        <v>234</v>
      </c>
      <c r="D109" t="s">
        <v>430</v>
      </c>
      <c r="E109" t="s">
        <v>431</v>
      </c>
      <c r="F109">
        <v>1663240110080</v>
      </c>
      <c r="G109">
        <v>1807012724736</v>
      </c>
      <c r="H109">
        <v>2001765662720</v>
      </c>
      <c r="I109">
        <v>2196971061248</v>
      </c>
      <c r="J109">
        <v>2370854977536</v>
      </c>
      <c r="K109">
        <v>2535464108032</v>
      </c>
      <c r="L109">
        <v>2732009979904</v>
      </c>
      <c r="M109">
        <v>3005801037824</v>
      </c>
      <c r="N109">
        <v>3329731067904</v>
      </c>
      <c r="O109">
        <v>3707070054400</v>
      </c>
      <c r="P109">
        <v>4161545961472</v>
      </c>
    </row>
    <row r="110" spans="1:16" ht="12.75">
      <c r="A110" s="62" t="str">
        <f t="shared" si="1"/>
        <v>Bangladesh_GDP (current US$)</v>
      </c>
      <c r="B110" t="s">
        <v>446</v>
      </c>
      <c r="C110" t="s">
        <v>234</v>
      </c>
      <c r="D110" t="s">
        <v>432</v>
      </c>
      <c r="E110" t="s">
        <v>433</v>
      </c>
      <c r="F110">
        <v>40666013696</v>
      </c>
      <c r="G110">
        <v>42318798848</v>
      </c>
      <c r="H110">
        <v>44091752448</v>
      </c>
      <c r="I110">
        <v>45694070784</v>
      </c>
      <c r="J110">
        <v>47096840192</v>
      </c>
      <c r="K110">
        <v>46953037824</v>
      </c>
      <c r="L110">
        <v>47513219072</v>
      </c>
      <c r="M110">
        <v>51824156672</v>
      </c>
      <c r="N110">
        <v>56676274176</v>
      </c>
      <c r="O110">
        <v>60033523712</v>
      </c>
      <c r="P110">
        <v>61960962048</v>
      </c>
    </row>
    <row r="111" spans="1:16" ht="12.75">
      <c r="A111" s="62" t="str">
        <f t="shared" si="1"/>
        <v>Bangladesh_GDP per capita, PPP (current international $)</v>
      </c>
      <c r="B111" t="s">
        <v>446</v>
      </c>
      <c r="C111" t="s">
        <v>234</v>
      </c>
      <c r="D111" t="s">
        <v>434</v>
      </c>
      <c r="E111" t="s">
        <v>435</v>
      </c>
      <c r="F111">
        <v>1273.99997756166</v>
      </c>
      <c r="G111">
        <v>1337.18290942312</v>
      </c>
      <c r="H111">
        <v>1394.25892925337</v>
      </c>
      <c r="I111">
        <v>1454.02338899234</v>
      </c>
      <c r="J111">
        <v>1543.28944972448</v>
      </c>
      <c r="K111">
        <v>1631.60106345993</v>
      </c>
      <c r="L111">
        <v>1700.24891440529</v>
      </c>
      <c r="M111">
        <v>1791.46827400839</v>
      </c>
      <c r="N111">
        <v>1917.28034863584</v>
      </c>
      <c r="O111">
        <v>2054.26231928042</v>
      </c>
      <c r="P111">
        <v>2216.93445278242</v>
      </c>
    </row>
    <row r="112" spans="1:16" ht="12.75">
      <c r="A112" s="62" t="str">
        <f t="shared" si="1"/>
        <v>Bangladesh_GDP per capita, PPP (constant 2000 international $)</v>
      </c>
      <c r="B112" t="s">
        <v>446</v>
      </c>
      <c r="C112" t="s">
        <v>234</v>
      </c>
      <c r="D112" t="s">
        <v>436</v>
      </c>
      <c r="E112" t="s">
        <v>437</v>
      </c>
      <c r="F112">
        <v>1357.55681962804</v>
      </c>
      <c r="G112">
        <v>1401.47411553716</v>
      </c>
      <c r="H112">
        <v>1445.23718709205</v>
      </c>
      <c r="I112">
        <v>1485.71899533878</v>
      </c>
      <c r="J112">
        <v>1543.28944972448</v>
      </c>
      <c r="K112">
        <v>1593.22337275355</v>
      </c>
      <c r="L112">
        <v>1631.70088840956</v>
      </c>
      <c r="M112">
        <v>1684.94993190943</v>
      </c>
      <c r="N112">
        <v>1757.17328570427</v>
      </c>
      <c r="O112">
        <v>1827.58794774637</v>
      </c>
      <c r="P112">
        <v>1916.20122173678</v>
      </c>
    </row>
    <row r="113" spans="1:16" ht="12.75">
      <c r="A113" s="62" t="str">
        <f t="shared" si="1"/>
        <v>Bangladesh_GINI index</v>
      </c>
      <c r="B113" t="s">
        <v>446</v>
      </c>
      <c r="C113" t="s">
        <v>234</v>
      </c>
      <c r="D113" t="s">
        <v>438</v>
      </c>
      <c r="E113" t="s">
        <v>439</v>
      </c>
      <c r="F113">
        <v>33</v>
      </c>
      <c r="G113" t="s">
        <v>193</v>
      </c>
      <c r="H113" t="s">
        <v>193</v>
      </c>
      <c r="I113" t="s">
        <v>193</v>
      </c>
      <c r="J113">
        <v>33.4</v>
      </c>
      <c r="K113" t="s">
        <v>193</v>
      </c>
      <c r="L113" t="s">
        <v>193</v>
      </c>
      <c r="M113" t="s">
        <v>193</v>
      </c>
      <c r="N113" t="s">
        <v>193</v>
      </c>
      <c r="O113" t="s">
        <v>193</v>
      </c>
      <c r="P113" t="s">
        <v>193</v>
      </c>
    </row>
    <row r="114" spans="1:16" ht="12.75">
      <c r="A114" s="62" t="str">
        <f t="shared" si="1"/>
        <v>Belarus_Poverty headcount ratio at national poverty line (% of population)</v>
      </c>
      <c r="B114" t="s">
        <v>447</v>
      </c>
      <c r="C114" t="s">
        <v>206</v>
      </c>
      <c r="D114" t="s">
        <v>408</v>
      </c>
      <c r="E114" t="s">
        <v>409</v>
      </c>
      <c r="F114" t="s">
        <v>193</v>
      </c>
      <c r="G114" t="s">
        <v>193</v>
      </c>
      <c r="H114" t="s">
        <v>193</v>
      </c>
      <c r="I114" t="s">
        <v>193</v>
      </c>
      <c r="J114">
        <v>41.9</v>
      </c>
      <c r="K114" t="s">
        <v>193</v>
      </c>
      <c r="L114" t="s">
        <v>193</v>
      </c>
      <c r="M114" t="s">
        <v>193</v>
      </c>
      <c r="N114" t="s">
        <v>193</v>
      </c>
      <c r="O114" t="s">
        <v>193</v>
      </c>
      <c r="P114" t="s">
        <v>193</v>
      </c>
    </row>
    <row r="115" spans="1:16" ht="12.75">
      <c r="A115" s="62" t="str">
        <f aca="true" t="shared" si="2" ref="A115:A178">C115&amp;"_"&amp;E115</f>
        <v>Belarus_Poverty headcount ratio at $2 a day (PPP) (% of population)</v>
      </c>
      <c r="B115" t="s">
        <v>447</v>
      </c>
      <c r="C115" t="s">
        <v>206</v>
      </c>
      <c r="D115" t="s">
        <v>410</v>
      </c>
      <c r="E115" t="s">
        <v>411</v>
      </c>
      <c r="F115" t="s">
        <v>193</v>
      </c>
      <c r="G115">
        <v>4.58</v>
      </c>
      <c r="H115">
        <v>2</v>
      </c>
      <c r="I115" t="s">
        <v>193</v>
      </c>
      <c r="J115">
        <v>2</v>
      </c>
      <c r="K115" t="s">
        <v>193</v>
      </c>
      <c r="L115">
        <v>2</v>
      </c>
      <c r="M115" t="s">
        <v>193</v>
      </c>
      <c r="N115" t="s">
        <v>193</v>
      </c>
      <c r="O115" t="s">
        <v>193</v>
      </c>
      <c r="P115" t="s">
        <v>193</v>
      </c>
    </row>
    <row r="116" spans="1:16" ht="12.75">
      <c r="A116" s="62" t="str">
        <f t="shared" si="2"/>
        <v>Belarus_Poverty headcount ratio at $1 a day (PPP) (% of population)</v>
      </c>
      <c r="B116" t="s">
        <v>447</v>
      </c>
      <c r="C116" t="s">
        <v>206</v>
      </c>
      <c r="D116" t="s">
        <v>412</v>
      </c>
      <c r="E116" t="s">
        <v>413</v>
      </c>
      <c r="F116" t="s">
        <v>193</v>
      </c>
      <c r="G116">
        <v>2</v>
      </c>
      <c r="H116">
        <v>2</v>
      </c>
      <c r="I116" t="s">
        <v>193</v>
      </c>
      <c r="J116">
        <v>2</v>
      </c>
      <c r="K116" t="s">
        <v>193</v>
      </c>
      <c r="L116">
        <v>2</v>
      </c>
      <c r="M116" t="s">
        <v>193</v>
      </c>
      <c r="N116" t="s">
        <v>193</v>
      </c>
      <c r="O116" t="s">
        <v>193</v>
      </c>
      <c r="P116" t="s">
        <v>193</v>
      </c>
    </row>
    <row r="117" spans="1:16" ht="12.75">
      <c r="A117" s="62" t="str">
        <f t="shared" si="2"/>
        <v>Belarus_Poverty gap at $1 a day (PPP) (%)</v>
      </c>
      <c r="B117" t="s">
        <v>447</v>
      </c>
      <c r="C117" t="s">
        <v>206</v>
      </c>
      <c r="D117" t="s">
        <v>414</v>
      </c>
      <c r="E117" t="s">
        <v>415</v>
      </c>
      <c r="F117" t="s">
        <v>193</v>
      </c>
      <c r="G117">
        <v>0.5</v>
      </c>
      <c r="H117">
        <v>0.5</v>
      </c>
      <c r="I117" t="s">
        <v>193</v>
      </c>
      <c r="J117">
        <v>0.5</v>
      </c>
      <c r="K117" t="s">
        <v>193</v>
      </c>
      <c r="L117">
        <v>0.5</v>
      </c>
      <c r="M117" t="s">
        <v>193</v>
      </c>
      <c r="N117" t="s">
        <v>193</v>
      </c>
      <c r="O117" t="s">
        <v>193</v>
      </c>
      <c r="P117" t="s">
        <v>193</v>
      </c>
    </row>
    <row r="118" spans="1:16" ht="12.75">
      <c r="A118" s="62" t="str">
        <f t="shared" si="2"/>
        <v>Belarus_Poverty gap at $2 a day (PPP) (%)</v>
      </c>
      <c r="B118" t="s">
        <v>447</v>
      </c>
      <c r="C118" t="s">
        <v>206</v>
      </c>
      <c r="D118" t="s">
        <v>416</v>
      </c>
      <c r="E118" t="s">
        <v>417</v>
      </c>
      <c r="F118" t="s">
        <v>193</v>
      </c>
      <c r="G118">
        <v>0.56</v>
      </c>
      <c r="H118">
        <v>0.5</v>
      </c>
      <c r="I118" t="s">
        <v>193</v>
      </c>
      <c r="J118">
        <v>0.5</v>
      </c>
      <c r="K118" t="s">
        <v>193</v>
      </c>
      <c r="L118">
        <v>0.5</v>
      </c>
      <c r="M118" t="s">
        <v>193</v>
      </c>
      <c r="N118" t="s">
        <v>193</v>
      </c>
      <c r="O118" t="s">
        <v>193</v>
      </c>
      <c r="P118" t="s">
        <v>193</v>
      </c>
    </row>
    <row r="119" spans="1:16" ht="12.75">
      <c r="A119" s="62" t="str">
        <f t="shared" si="2"/>
        <v>Belarus_Population, total</v>
      </c>
      <c r="B119" t="s">
        <v>447</v>
      </c>
      <c r="C119" t="s">
        <v>206</v>
      </c>
      <c r="D119" t="s">
        <v>418</v>
      </c>
      <c r="E119" t="s">
        <v>419</v>
      </c>
      <c r="F119">
        <v>10160000</v>
      </c>
      <c r="G119">
        <v>10117000</v>
      </c>
      <c r="H119">
        <v>10069000</v>
      </c>
      <c r="I119">
        <v>10035000</v>
      </c>
      <c r="J119">
        <v>10005000</v>
      </c>
      <c r="K119">
        <v>9970260.05529868</v>
      </c>
      <c r="L119">
        <v>9925000</v>
      </c>
      <c r="M119">
        <v>9873968.35117472</v>
      </c>
      <c r="N119">
        <v>9824469.45132408</v>
      </c>
      <c r="O119">
        <v>9775591.4938548</v>
      </c>
      <c r="P119">
        <v>9715949.86541431</v>
      </c>
    </row>
    <row r="120" spans="1:16" ht="12.75">
      <c r="A120" s="62" t="str">
        <f t="shared" si="2"/>
        <v>Belarus_Public spending on education, total (% of GDP)</v>
      </c>
      <c r="B120" t="s">
        <v>447</v>
      </c>
      <c r="C120" t="s">
        <v>206</v>
      </c>
      <c r="D120" t="s">
        <v>420</v>
      </c>
      <c r="E120" t="s">
        <v>421</v>
      </c>
      <c r="F120" t="s">
        <v>193</v>
      </c>
      <c r="G120" t="s">
        <v>193</v>
      </c>
      <c r="H120" t="s">
        <v>193</v>
      </c>
      <c r="I120">
        <v>6.00000584168532</v>
      </c>
      <c r="J120">
        <v>6.00001354307043</v>
      </c>
      <c r="K120" t="s">
        <v>193</v>
      </c>
      <c r="L120" t="s">
        <v>193</v>
      </c>
      <c r="M120">
        <v>5.77539031503983</v>
      </c>
      <c r="N120">
        <v>5.71223230098589</v>
      </c>
      <c r="O120">
        <v>5.99900665755567</v>
      </c>
      <c r="P120" t="s">
        <v>193</v>
      </c>
    </row>
    <row r="121" spans="1:16" ht="12.75">
      <c r="A121" s="62" t="str">
        <f t="shared" si="2"/>
        <v>Belarus_Public spending on education, total (% of government expenditure)</v>
      </c>
      <c r="B121" t="s">
        <v>447</v>
      </c>
      <c r="C121" t="s">
        <v>206</v>
      </c>
      <c r="D121" t="s">
        <v>422</v>
      </c>
      <c r="E121" t="s">
        <v>423</v>
      </c>
      <c r="F121" t="s">
        <v>193</v>
      </c>
      <c r="G121" t="s">
        <v>193</v>
      </c>
      <c r="H121" t="s">
        <v>193</v>
      </c>
      <c r="I121" t="s">
        <v>193</v>
      </c>
      <c r="J121" t="s">
        <v>193</v>
      </c>
      <c r="K121" t="s">
        <v>193</v>
      </c>
      <c r="L121" t="s">
        <v>193</v>
      </c>
      <c r="M121" t="s">
        <v>193</v>
      </c>
      <c r="N121">
        <v>12.9588237678624</v>
      </c>
      <c r="O121">
        <v>11.3314586497635</v>
      </c>
      <c r="P121" t="s">
        <v>193</v>
      </c>
    </row>
    <row r="122" spans="1:16" ht="12.75">
      <c r="A122" s="62" t="str">
        <f t="shared" si="2"/>
        <v>Belarus_Health expenditure, public (% of total health expenditure)</v>
      </c>
      <c r="B122" t="s">
        <v>447</v>
      </c>
      <c r="C122" t="s">
        <v>206</v>
      </c>
      <c r="D122" t="s">
        <v>424</v>
      </c>
      <c r="E122" t="s">
        <v>425</v>
      </c>
      <c r="F122" t="s">
        <v>193</v>
      </c>
      <c r="G122" t="s">
        <v>193</v>
      </c>
      <c r="H122" t="s">
        <v>193</v>
      </c>
      <c r="I122" t="s">
        <v>193</v>
      </c>
      <c r="J122">
        <v>76.3</v>
      </c>
      <c r="K122">
        <v>74.2</v>
      </c>
      <c r="L122">
        <v>72.4</v>
      </c>
      <c r="M122">
        <v>74.9</v>
      </c>
      <c r="N122">
        <v>74.9</v>
      </c>
      <c r="O122" t="s">
        <v>193</v>
      </c>
      <c r="P122" t="s">
        <v>193</v>
      </c>
    </row>
    <row r="123" spans="1:16" ht="12.75">
      <c r="A123" s="62" t="str">
        <f t="shared" si="2"/>
        <v>Belarus_Health expenditure, public (% of GDP)</v>
      </c>
      <c r="B123" t="s">
        <v>447</v>
      </c>
      <c r="C123" t="s">
        <v>206</v>
      </c>
      <c r="D123" t="s">
        <v>426</v>
      </c>
      <c r="E123" t="s">
        <v>427</v>
      </c>
      <c r="F123" t="s">
        <v>193</v>
      </c>
      <c r="G123" t="s">
        <v>193</v>
      </c>
      <c r="H123" t="s">
        <v>193</v>
      </c>
      <c r="I123" t="s">
        <v>193</v>
      </c>
      <c r="J123">
        <v>4.8832</v>
      </c>
      <c r="K123">
        <v>4.9714</v>
      </c>
      <c r="L123">
        <v>4.706</v>
      </c>
      <c r="M123">
        <v>4.8685</v>
      </c>
      <c r="N123">
        <v>4.6438</v>
      </c>
      <c r="O123" t="s">
        <v>193</v>
      </c>
      <c r="P123" t="s">
        <v>193</v>
      </c>
    </row>
    <row r="124" spans="1:16" ht="12.75">
      <c r="A124" s="62" t="str">
        <f t="shared" si="2"/>
        <v>Belarus_Health expenditure, total (% of GDP)</v>
      </c>
      <c r="B124" t="s">
        <v>447</v>
      </c>
      <c r="C124" t="s">
        <v>206</v>
      </c>
      <c r="D124" t="s">
        <v>428</v>
      </c>
      <c r="E124" t="s">
        <v>429</v>
      </c>
      <c r="F124" t="s">
        <v>193</v>
      </c>
      <c r="G124" t="s">
        <v>193</v>
      </c>
      <c r="H124" t="s">
        <v>193</v>
      </c>
      <c r="I124" t="s">
        <v>193</v>
      </c>
      <c r="J124">
        <v>6.4</v>
      </c>
      <c r="K124">
        <v>6.7</v>
      </c>
      <c r="L124">
        <v>6.5</v>
      </c>
      <c r="M124">
        <v>6.5</v>
      </c>
      <c r="N124">
        <v>6.2</v>
      </c>
      <c r="O124" t="s">
        <v>193</v>
      </c>
      <c r="P124" t="s">
        <v>193</v>
      </c>
    </row>
    <row r="125" spans="1:16" ht="12.75">
      <c r="A125" s="62" t="str">
        <f t="shared" si="2"/>
        <v>Belarus_GDP (current LCU)</v>
      </c>
      <c r="B125" t="s">
        <v>447</v>
      </c>
      <c r="C125" t="s">
        <v>206</v>
      </c>
      <c r="D125" t="s">
        <v>430</v>
      </c>
      <c r="E125" t="s">
        <v>431</v>
      </c>
      <c r="F125">
        <v>191839207424</v>
      </c>
      <c r="G125">
        <v>366830092288</v>
      </c>
      <c r="H125">
        <v>702161092608</v>
      </c>
      <c r="I125">
        <v>3026063720448</v>
      </c>
      <c r="J125">
        <v>9133799505920</v>
      </c>
      <c r="K125">
        <v>17173200240640</v>
      </c>
      <c r="L125">
        <v>26138300645376</v>
      </c>
      <c r="M125">
        <v>36564801421312</v>
      </c>
      <c r="N125">
        <v>49991800324096</v>
      </c>
      <c r="O125">
        <v>63678900600832</v>
      </c>
      <c r="P125">
        <v>79231400804352</v>
      </c>
    </row>
    <row r="126" spans="1:16" ht="12.75">
      <c r="A126" s="62" t="str">
        <f t="shared" si="2"/>
        <v>Belarus_GDP (current US$)</v>
      </c>
      <c r="B126" t="s">
        <v>447</v>
      </c>
      <c r="C126" t="s">
        <v>206</v>
      </c>
      <c r="D126" t="s">
        <v>432</v>
      </c>
      <c r="E126" t="s">
        <v>433</v>
      </c>
      <c r="F126">
        <v>14756861952</v>
      </c>
      <c r="G126">
        <v>14108850176</v>
      </c>
      <c r="H126">
        <v>15264371712</v>
      </c>
      <c r="I126">
        <v>12104254464</v>
      </c>
      <c r="J126">
        <v>12736856064</v>
      </c>
      <c r="K126">
        <v>12354820096</v>
      </c>
      <c r="L126">
        <v>14594925568</v>
      </c>
      <c r="M126">
        <v>17825435648</v>
      </c>
      <c r="N126">
        <v>23141586944</v>
      </c>
      <c r="O126">
        <v>29565562880</v>
      </c>
      <c r="P126">
        <v>36945293312</v>
      </c>
    </row>
    <row r="127" spans="1:16" ht="12.75">
      <c r="A127" s="62" t="str">
        <f t="shared" si="2"/>
        <v>Belarus_GDP per capita, PPP (current international $)</v>
      </c>
      <c r="B127" t="s">
        <v>447</v>
      </c>
      <c r="C127" t="s">
        <v>206</v>
      </c>
      <c r="D127" t="s">
        <v>434</v>
      </c>
      <c r="E127" t="s">
        <v>435</v>
      </c>
      <c r="F127">
        <v>3359.779708514</v>
      </c>
      <c r="G127">
        <v>3821.48584784712</v>
      </c>
      <c r="H127">
        <v>4208.48271114234</v>
      </c>
      <c r="I127">
        <v>4429.40565113221</v>
      </c>
      <c r="J127">
        <v>4802.82389439736</v>
      </c>
      <c r="K127">
        <v>5168.8774669781</v>
      </c>
      <c r="L127">
        <v>5549.8768733175</v>
      </c>
      <c r="M127">
        <v>6093.00232107498</v>
      </c>
      <c r="N127">
        <v>7003.93244267866</v>
      </c>
      <c r="O127">
        <v>7921.58892041324</v>
      </c>
      <c r="P127">
        <v>9035.27385916305</v>
      </c>
    </row>
    <row r="128" spans="1:16" ht="12.75">
      <c r="A128" s="62" t="str">
        <f t="shared" si="2"/>
        <v>Belarus_GDP per capita, PPP (constant 2000 international $)</v>
      </c>
      <c r="B128" t="s">
        <v>447</v>
      </c>
      <c r="C128" t="s">
        <v>206</v>
      </c>
      <c r="D128" t="s">
        <v>436</v>
      </c>
      <c r="E128" t="s">
        <v>437</v>
      </c>
      <c r="F128">
        <v>3580.13495767141</v>
      </c>
      <c r="G128">
        <v>4005.22132081383</v>
      </c>
      <c r="H128">
        <v>4362.35736975623</v>
      </c>
      <c r="I128">
        <v>4525.96028631195</v>
      </c>
      <c r="J128">
        <v>4802.82389439736</v>
      </c>
      <c r="K128">
        <v>5047.29775906459</v>
      </c>
      <c r="L128">
        <v>5326.12545612083</v>
      </c>
      <c r="M128">
        <v>5730.72043472382</v>
      </c>
      <c r="N128">
        <v>6419.05237901646</v>
      </c>
      <c r="O128">
        <v>7047.49354650072</v>
      </c>
      <c r="P128">
        <v>7809.61421115768</v>
      </c>
    </row>
    <row r="129" spans="1:16" ht="12.75">
      <c r="A129" s="62" t="str">
        <f t="shared" si="2"/>
        <v>Belarus_GINI index</v>
      </c>
      <c r="B129" t="s">
        <v>447</v>
      </c>
      <c r="C129" t="s">
        <v>206</v>
      </c>
      <c r="D129" t="s">
        <v>438</v>
      </c>
      <c r="E129" t="s">
        <v>439</v>
      </c>
      <c r="F129" t="s">
        <v>193</v>
      </c>
      <c r="G129">
        <v>25.62</v>
      </c>
      <c r="H129">
        <v>27.95</v>
      </c>
      <c r="I129" t="s">
        <v>193</v>
      </c>
      <c r="J129">
        <v>30.35</v>
      </c>
      <c r="K129" t="s">
        <v>193</v>
      </c>
      <c r="L129">
        <v>29.72</v>
      </c>
      <c r="M129" t="s">
        <v>193</v>
      </c>
      <c r="N129" t="s">
        <v>193</v>
      </c>
      <c r="O129" t="s">
        <v>193</v>
      </c>
      <c r="P129" t="s">
        <v>193</v>
      </c>
    </row>
    <row r="130" spans="1:16" ht="12.75">
      <c r="A130" s="62" t="str">
        <f t="shared" si="2"/>
        <v>Benin_Poverty headcount ratio at national poverty line (% of population)</v>
      </c>
      <c r="B130" t="s">
        <v>448</v>
      </c>
      <c r="C130" t="s">
        <v>133</v>
      </c>
      <c r="D130" t="s">
        <v>408</v>
      </c>
      <c r="E130" t="s">
        <v>409</v>
      </c>
      <c r="F130" t="s">
        <v>193</v>
      </c>
      <c r="G130" t="s">
        <v>193</v>
      </c>
      <c r="H130" t="s">
        <v>193</v>
      </c>
      <c r="I130">
        <v>29.023</v>
      </c>
      <c r="J130" t="s">
        <v>193</v>
      </c>
      <c r="K130" t="s">
        <v>193</v>
      </c>
      <c r="L130" t="s">
        <v>193</v>
      </c>
      <c r="M130" t="s">
        <v>193</v>
      </c>
      <c r="N130" t="s">
        <v>193</v>
      </c>
      <c r="O130" t="s">
        <v>193</v>
      </c>
      <c r="P130" t="s">
        <v>193</v>
      </c>
    </row>
    <row r="131" spans="1:16" ht="12.75">
      <c r="A131" s="62" t="str">
        <f t="shared" si="2"/>
        <v>Benin_Poverty headcount ratio at $2 a day (PPP) (% of population)</v>
      </c>
      <c r="B131" t="s">
        <v>448</v>
      </c>
      <c r="C131" t="s">
        <v>133</v>
      </c>
      <c r="D131" t="s">
        <v>410</v>
      </c>
      <c r="E131" t="s">
        <v>411</v>
      </c>
      <c r="F131" t="s">
        <v>193</v>
      </c>
      <c r="G131" t="s">
        <v>193</v>
      </c>
      <c r="H131" t="s">
        <v>193</v>
      </c>
      <c r="I131" t="s">
        <v>193</v>
      </c>
      <c r="J131" t="s">
        <v>193</v>
      </c>
      <c r="K131" t="s">
        <v>193</v>
      </c>
      <c r="L131" t="s">
        <v>193</v>
      </c>
      <c r="M131">
        <v>73.74</v>
      </c>
      <c r="N131" t="s">
        <v>193</v>
      </c>
      <c r="O131" t="s">
        <v>193</v>
      </c>
      <c r="P131" t="s">
        <v>193</v>
      </c>
    </row>
    <row r="132" spans="1:16" ht="12.75">
      <c r="A132" s="62" t="str">
        <f t="shared" si="2"/>
        <v>Benin_Poverty headcount ratio at $1 a day (PPP) (% of population)</v>
      </c>
      <c r="B132" t="s">
        <v>448</v>
      </c>
      <c r="C132" t="s">
        <v>133</v>
      </c>
      <c r="D132" t="s">
        <v>412</v>
      </c>
      <c r="E132" t="s">
        <v>413</v>
      </c>
      <c r="F132" t="s">
        <v>193</v>
      </c>
      <c r="G132" t="s">
        <v>193</v>
      </c>
      <c r="H132" t="s">
        <v>193</v>
      </c>
      <c r="I132" t="s">
        <v>193</v>
      </c>
      <c r="J132" t="s">
        <v>193</v>
      </c>
      <c r="K132" t="s">
        <v>193</v>
      </c>
      <c r="L132" t="s">
        <v>193</v>
      </c>
      <c r="M132">
        <v>30.9</v>
      </c>
      <c r="N132" t="s">
        <v>193</v>
      </c>
      <c r="O132" t="s">
        <v>193</v>
      </c>
      <c r="P132" t="s">
        <v>193</v>
      </c>
    </row>
    <row r="133" spans="1:16" ht="12.75">
      <c r="A133" s="62" t="str">
        <f t="shared" si="2"/>
        <v>Benin_Poverty gap at $1 a day (PPP) (%)</v>
      </c>
      <c r="B133" t="s">
        <v>448</v>
      </c>
      <c r="C133" t="s">
        <v>133</v>
      </c>
      <c r="D133" t="s">
        <v>414</v>
      </c>
      <c r="E133" t="s">
        <v>415</v>
      </c>
      <c r="F133" t="s">
        <v>193</v>
      </c>
      <c r="G133" t="s">
        <v>193</v>
      </c>
      <c r="H133" t="s">
        <v>193</v>
      </c>
      <c r="I133" t="s">
        <v>193</v>
      </c>
      <c r="J133" t="s">
        <v>193</v>
      </c>
      <c r="K133" t="s">
        <v>193</v>
      </c>
      <c r="L133" t="s">
        <v>193</v>
      </c>
      <c r="M133">
        <v>8.23</v>
      </c>
      <c r="N133" t="s">
        <v>193</v>
      </c>
      <c r="O133" t="s">
        <v>193</v>
      </c>
      <c r="P133" t="s">
        <v>193</v>
      </c>
    </row>
    <row r="134" spans="1:16" ht="12.75">
      <c r="A134" s="62" t="str">
        <f t="shared" si="2"/>
        <v>Benin_Poverty gap at $2 a day (PPP) (%)</v>
      </c>
      <c r="B134" t="s">
        <v>448</v>
      </c>
      <c r="C134" t="s">
        <v>133</v>
      </c>
      <c r="D134" t="s">
        <v>416</v>
      </c>
      <c r="E134" t="s">
        <v>417</v>
      </c>
      <c r="F134" t="s">
        <v>193</v>
      </c>
      <c r="G134" t="s">
        <v>193</v>
      </c>
      <c r="H134" t="s">
        <v>193</v>
      </c>
      <c r="I134" t="s">
        <v>193</v>
      </c>
      <c r="J134" t="s">
        <v>193</v>
      </c>
      <c r="K134" t="s">
        <v>193</v>
      </c>
      <c r="L134" t="s">
        <v>193</v>
      </c>
      <c r="M134">
        <v>31.7</v>
      </c>
      <c r="N134" t="s">
        <v>193</v>
      </c>
      <c r="O134" t="s">
        <v>193</v>
      </c>
      <c r="P134" t="s">
        <v>193</v>
      </c>
    </row>
    <row r="135" spans="1:16" ht="12.75">
      <c r="A135" s="62" t="str">
        <f t="shared" si="2"/>
        <v>Benin_Population, total</v>
      </c>
      <c r="B135" t="s">
        <v>448</v>
      </c>
      <c r="C135" t="s">
        <v>133</v>
      </c>
      <c r="D135" t="s">
        <v>418</v>
      </c>
      <c r="E135" t="s">
        <v>419</v>
      </c>
      <c r="F135">
        <v>6398470</v>
      </c>
      <c r="G135">
        <v>6590894</v>
      </c>
      <c r="H135">
        <v>6783281</v>
      </c>
      <c r="I135">
        <v>6983445</v>
      </c>
      <c r="J135">
        <v>7196955</v>
      </c>
      <c r="K135">
        <v>7425465</v>
      </c>
      <c r="L135">
        <v>7666962</v>
      </c>
      <c r="M135">
        <v>7918892</v>
      </c>
      <c r="N135">
        <v>8177208</v>
      </c>
      <c r="O135">
        <v>8438853</v>
      </c>
      <c r="P135">
        <v>8693272.15019066</v>
      </c>
    </row>
    <row r="136" spans="1:16" ht="12.75">
      <c r="A136" s="62" t="str">
        <f t="shared" si="2"/>
        <v>Benin_Public spending on education, total (% of GDP)</v>
      </c>
      <c r="B136" t="s">
        <v>448</v>
      </c>
      <c r="C136" t="s">
        <v>133</v>
      </c>
      <c r="D136" t="s">
        <v>420</v>
      </c>
      <c r="E136" t="s">
        <v>421</v>
      </c>
      <c r="F136" t="s">
        <v>193</v>
      </c>
      <c r="G136" t="s">
        <v>193</v>
      </c>
      <c r="H136" t="s">
        <v>193</v>
      </c>
      <c r="I136">
        <v>2.49554391933292</v>
      </c>
      <c r="J136">
        <v>3.09293633492094</v>
      </c>
      <c r="K136">
        <v>3.26277141527234</v>
      </c>
      <c r="L136">
        <v>3.12592636297537</v>
      </c>
      <c r="M136" t="s">
        <v>193</v>
      </c>
      <c r="N136">
        <v>4.38279871955631</v>
      </c>
      <c r="O136">
        <v>3.48084110639838</v>
      </c>
      <c r="P136" t="s">
        <v>193</v>
      </c>
    </row>
    <row r="137" spans="1:16" ht="12.75">
      <c r="A137" s="62" t="str">
        <f t="shared" si="2"/>
        <v>Benin_Public spending on education, total (% of government expenditure)</v>
      </c>
      <c r="B137" t="s">
        <v>448</v>
      </c>
      <c r="C137" t="s">
        <v>133</v>
      </c>
      <c r="D137" t="s">
        <v>422</v>
      </c>
      <c r="E137" t="s">
        <v>423</v>
      </c>
      <c r="F137" t="s">
        <v>193</v>
      </c>
      <c r="G137" t="s">
        <v>193</v>
      </c>
      <c r="H137" t="s">
        <v>193</v>
      </c>
      <c r="I137" t="s">
        <v>193</v>
      </c>
      <c r="J137" t="s">
        <v>193</v>
      </c>
      <c r="K137" t="s">
        <v>193</v>
      </c>
      <c r="L137" t="s">
        <v>193</v>
      </c>
      <c r="M137" t="s">
        <v>193</v>
      </c>
      <c r="N137">
        <v>17.1071558963125</v>
      </c>
      <c r="O137">
        <v>14.1352527997845</v>
      </c>
      <c r="P137" t="s">
        <v>193</v>
      </c>
    </row>
    <row r="138" spans="1:16" ht="12.75">
      <c r="A138" s="62" t="str">
        <f t="shared" si="2"/>
        <v>Benin_Health expenditure, public (% of total health expenditure)</v>
      </c>
      <c r="B138" t="s">
        <v>448</v>
      </c>
      <c r="C138" t="s">
        <v>133</v>
      </c>
      <c r="D138" t="s">
        <v>424</v>
      </c>
      <c r="E138" t="s">
        <v>425</v>
      </c>
      <c r="F138" t="s">
        <v>193</v>
      </c>
      <c r="G138" t="s">
        <v>193</v>
      </c>
      <c r="H138" t="s">
        <v>193</v>
      </c>
      <c r="I138" t="s">
        <v>193</v>
      </c>
      <c r="J138">
        <v>47.6</v>
      </c>
      <c r="K138">
        <v>52.2</v>
      </c>
      <c r="L138">
        <v>47.9</v>
      </c>
      <c r="M138">
        <v>47.9</v>
      </c>
      <c r="N138">
        <v>51.2</v>
      </c>
      <c r="O138" t="s">
        <v>193</v>
      </c>
      <c r="P138" t="s">
        <v>193</v>
      </c>
    </row>
    <row r="139" spans="1:16" ht="12.75">
      <c r="A139" s="62" t="str">
        <f t="shared" si="2"/>
        <v>Benin_Health expenditure, public (% of GDP)</v>
      </c>
      <c r="B139" t="s">
        <v>448</v>
      </c>
      <c r="C139" t="s">
        <v>133</v>
      </c>
      <c r="D139" t="s">
        <v>426</v>
      </c>
      <c r="E139" t="s">
        <v>427</v>
      </c>
      <c r="F139" t="s">
        <v>193</v>
      </c>
      <c r="G139" t="s">
        <v>193</v>
      </c>
      <c r="H139" t="s">
        <v>193</v>
      </c>
      <c r="I139" t="s">
        <v>193</v>
      </c>
      <c r="J139">
        <v>2.1896</v>
      </c>
      <c r="K139">
        <v>2.61</v>
      </c>
      <c r="L139">
        <v>2.2034</v>
      </c>
      <c r="M139">
        <v>2.2034</v>
      </c>
      <c r="N139">
        <v>2.5088</v>
      </c>
      <c r="O139" t="s">
        <v>193</v>
      </c>
      <c r="P139" t="s">
        <v>193</v>
      </c>
    </row>
    <row r="140" spans="1:16" ht="12.75">
      <c r="A140" s="62" t="str">
        <f t="shared" si="2"/>
        <v>Benin_Health expenditure, total (% of GDP)</v>
      </c>
      <c r="B140" t="s">
        <v>448</v>
      </c>
      <c r="C140" t="s">
        <v>133</v>
      </c>
      <c r="D140" t="s">
        <v>428</v>
      </c>
      <c r="E140" t="s">
        <v>429</v>
      </c>
      <c r="F140" t="s">
        <v>193</v>
      </c>
      <c r="G140" t="s">
        <v>193</v>
      </c>
      <c r="H140" t="s">
        <v>193</v>
      </c>
      <c r="I140" t="s">
        <v>193</v>
      </c>
      <c r="J140">
        <v>4.6</v>
      </c>
      <c r="K140">
        <v>5</v>
      </c>
      <c r="L140">
        <v>4.6</v>
      </c>
      <c r="M140">
        <v>4.6</v>
      </c>
      <c r="N140">
        <v>4.9</v>
      </c>
      <c r="O140" t="s">
        <v>193</v>
      </c>
      <c r="P140" t="s">
        <v>193</v>
      </c>
    </row>
    <row r="141" spans="1:16" ht="12.75">
      <c r="A141" s="62" t="str">
        <f t="shared" si="2"/>
        <v>Benin_GDP (current LCU)</v>
      </c>
      <c r="B141" t="s">
        <v>448</v>
      </c>
      <c r="C141" t="s">
        <v>133</v>
      </c>
      <c r="D141" t="s">
        <v>430</v>
      </c>
      <c r="E141" t="s">
        <v>431</v>
      </c>
      <c r="F141">
        <v>1129541140480</v>
      </c>
      <c r="G141">
        <v>1258832003072</v>
      </c>
      <c r="H141">
        <v>1377279934464</v>
      </c>
      <c r="I141">
        <v>1469899997184</v>
      </c>
      <c r="J141">
        <v>1605400002560</v>
      </c>
      <c r="K141">
        <v>1738613981184</v>
      </c>
      <c r="L141">
        <v>1956699963392</v>
      </c>
      <c r="M141">
        <v>2067900006400</v>
      </c>
      <c r="N141">
        <v>2138199949312</v>
      </c>
      <c r="O141">
        <v>2261500035072</v>
      </c>
      <c r="P141">
        <v>2496700088320</v>
      </c>
    </row>
    <row r="142" spans="1:16" ht="12.75">
      <c r="A142" s="62" t="str">
        <f t="shared" si="2"/>
        <v>Benin_GDP (current US$)</v>
      </c>
      <c r="B142" t="s">
        <v>448</v>
      </c>
      <c r="C142" t="s">
        <v>133</v>
      </c>
      <c r="D142" t="s">
        <v>432</v>
      </c>
      <c r="E142" t="s">
        <v>433</v>
      </c>
      <c r="F142">
        <v>2208067072</v>
      </c>
      <c r="G142">
        <v>2156753152</v>
      </c>
      <c r="H142">
        <v>2334564352</v>
      </c>
      <c r="I142">
        <v>2387363840</v>
      </c>
      <c r="J142">
        <v>2254838784</v>
      </c>
      <c r="K142">
        <v>2371785984</v>
      </c>
      <c r="L142">
        <v>2807357440</v>
      </c>
      <c r="M142">
        <v>3557983488</v>
      </c>
      <c r="N142">
        <v>4047438080</v>
      </c>
      <c r="O142">
        <v>4287463936</v>
      </c>
      <c r="P142">
        <v>4774809088</v>
      </c>
    </row>
    <row r="143" spans="1:16" ht="12.75">
      <c r="A143" s="62" t="str">
        <f t="shared" si="2"/>
        <v>Benin_GDP per capita, PPP (current international $)</v>
      </c>
      <c r="B143" t="s">
        <v>448</v>
      </c>
      <c r="C143" t="s">
        <v>133</v>
      </c>
      <c r="D143" t="s">
        <v>434</v>
      </c>
      <c r="E143" t="s">
        <v>435</v>
      </c>
      <c r="F143">
        <v>836.999985258329</v>
      </c>
      <c r="G143">
        <v>876.927504279417</v>
      </c>
      <c r="H143">
        <v>900.642399940102</v>
      </c>
      <c r="I143">
        <v>929.154807074477</v>
      </c>
      <c r="J143">
        <v>974.675326480202</v>
      </c>
      <c r="K143">
        <v>1015.80817708087</v>
      </c>
      <c r="L143">
        <v>1046.07535867816</v>
      </c>
      <c r="M143">
        <v>1073.71142895368</v>
      </c>
      <c r="N143">
        <v>1100.1566285147</v>
      </c>
      <c r="O143">
        <v>1130.05121200531</v>
      </c>
      <c r="P143">
        <v>1175.39298935278</v>
      </c>
    </row>
    <row r="144" spans="1:16" ht="12.75">
      <c r="A144" s="62" t="str">
        <f t="shared" si="2"/>
        <v>Benin_GDP per capita, PPP (constant 2000 international $)</v>
      </c>
      <c r="B144" t="s">
        <v>448</v>
      </c>
      <c r="C144" t="s">
        <v>133</v>
      </c>
      <c r="D144" t="s">
        <v>436</v>
      </c>
      <c r="E144" t="s">
        <v>437</v>
      </c>
      <c r="F144">
        <v>891.895649944012</v>
      </c>
      <c r="G144">
        <v>919.089819193409</v>
      </c>
      <c r="H144">
        <v>933.572567731232</v>
      </c>
      <c r="I144">
        <v>949.409037661744</v>
      </c>
      <c r="J144">
        <v>974.675326480202</v>
      </c>
      <c r="K144">
        <v>991.91485357791</v>
      </c>
      <c r="L144">
        <v>1003.90129800232</v>
      </c>
      <c r="M144">
        <v>1009.86996273059</v>
      </c>
      <c r="N144">
        <v>1008.28542841529</v>
      </c>
      <c r="O144">
        <v>1005.35747358717</v>
      </c>
      <c r="P144">
        <v>1015.94771076423</v>
      </c>
    </row>
    <row r="145" spans="1:16" ht="12.75">
      <c r="A145" s="62" t="str">
        <f t="shared" si="2"/>
        <v>Benin_GINI index</v>
      </c>
      <c r="B145" t="s">
        <v>448</v>
      </c>
      <c r="C145" t="s">
        <v>133</v>
      </c>
      <c r="D145" t="s">
        <v>438</v>
      </c>
      <c r="E145" t="s">
        <v>439</v>
      </c>
      <c r="F145" t="s">
        <v>193</v>
      </c>
      <c r="G145" t="s">
        <v>193</v>
      </c>
      <c r="H145" t="s">
        <v>193</v>
      </c>
      <c r="I145" t="s">
        <v>193</v>
      </c>
      <c r="J145" t="s">
        <v>193</v>
      </c>
      <c r="K145" t="s">
        <v>193</v>
      </c>
      <c r="L145" t="s">
        <v>193</v>
      </c>
      <c r="M145">
        <v>36.47779</v>
      </c>
      <c r="N145" t="s">
        <v>193</v>
      </c>
      <c r="O145" t="s">
        <v>193</v>
      </c>
      <c r="P145" t="s">
        <v>193</v>
      </c>
    </row>
    <row r="146" spans="1:16" ht="12.75">
      <c r="A146" s="62" t="str">
        <f t="shared" si="2"/>
        <v>Bolivia_Poverty headcount ratio at national poverty line (% of population)</v>
      </c>
      <c r="B146" t="s">
        <v>449</v>
      </c>
      <c r="C146" t="s">
        <v>238</v>
      </c>
      <c r="D146" t="s">
        <v>408</v>
      </c>
      <c r="E146" t="s">
        <v>409</v>
      </c>
      <c r="F146" t="s">
        <v>193</v>
      </c>
      <c r="G146">
        <v>63.2</v>
      </c>
      <c r="H146" t="s">
        <v>193</v>
      </c>
      <c r="I146">
        <v>62.7</v>
      </c>
      <c r="J146" t="s">
        <v>193</v>
      </c>
      <c r="K146" t="s">
        <v>193</v>
      </c>
      <c r="L146" t="s">
        <v>193</v>
      </c>
      <c r="M146" t="s">
        <v>193</v>
      </c>
      <c r="N146" t="s">
        <v>193</v>
      </c>
      <c r="O146" t="s">
        <v>193</v>
      </c>
      <c r="P146" t="s">
        <v>193</v>
      </c>
    </row>
    <row r="147" spans="1:16" ht="12.75">
      <c r="A147" s="62" t="str">
        <f t="shared" si="2"/>
        <v>Bolivia_Poverty headcount ratio at $2 a day (PPP) (% of population)</v>
      </c>
      <c r="B147" t="s">
        <v>449</v>
      </c>
      <c r="C147" t="s">
        <v>238</v>
      </c>
      <c r="D147" t="s">
        <v>410</v>
      </c>
      <c r="E147" t="s">
        <v>411</v>
      </c>
      <c r="F147" t="s">
        <v>193</v>
      </c>
      <c r="G147">
        <v>39.11</v>
      </c>
      <c r="H147" t="s">
        <v>193</v>
      </c>
      <c r="I147">
        <v>44.21</v>
      </c>
      <c r="J147" t="s">
        <v>193</v>
      </c>
      <c r="K147" t="s">
        <v>193</v>
      </c>
      <c r="L147">
        <v>42.18</v>
      </c>
      <c r="M147" t="s">
        <v>193</v>
      </c>
      <c r="N147" t="s">
        <v>193</v>
      </c>
      <c r="O147" t="s">
        <v>193</v>
      </c>
      <c r="P147" t="s">
        <v>193</v>
      </c>
    </row>
    <row r="148" spans="1:16" ht="12.75">
      <c r="A148" s="62" t="str">
        <f t="shared" si="2"/>
        <v>Bolivia_Poverty headcount ratio at $1 a day (PPP) (% of population)</v>
      </c>
      <c r="B148" t="s">
        <v>449</v>
      </c>
      <c r="C148" t="s">
        <v>238</v>
      </c>
      <c r="D148" t="s">
        <v>412</v>
      </c>
      <c r="E148" t="s">
        <v>413</v>
      </c>
      <c r="F148" t="s">
        <v>193</v>
      </c>
      <c r="G148">
        <v>20.43</v>
      </c>
      <c r="H148" t="s">
        <v>193</v>
      </c>
      <c r="I148">
        <v>26.18</v>
      </c>
      <c r="J148" t="s">
        <v>193</v>
      </c>
      <c r="K148" t="s">
        <v>193</v>
      </c>
      <c r="L148">
        <v>23.2</v>
      </c>
      <c r="M148" t="s">
        <v>193</v>
      </c>
      <c r="N148" t="s">
        <v>193</v>
      </c>
      <c r="O148" t="s">
        <v>193</v>
      </c>
      <c r="P148" t="s">
        <v>193</v>
      </c>
    </row>
    <row r="149" spans="1:16" ht="12.75">
      <c r="A149" s="62" t="str">
        <f t="shared" si="2"/>
        <v>Bolivia_Poverty gap at $1 a day (PPP) (%)</v>
      </c>
      <c r="B149" t="s">
        <v>449</v>
      </c>
      <c r="C149" t="s">
        <v>238</v>
      </c>
      <c r="D149" t="s">
        <v>414</v>
      </c>
      <c r="E149" t="s">
        <v>415</v>
      </c>
      <c r="F149" t="s">
        <v>193</v>
      </c>
      <c r="G149">
        <v>9.66</v>
      </c>
      <c r="H149" t="s">
        <v>193</v>
      </c>
      <c r="I149">
        <v>15.34</v>
      </c>
      <c r="J149" t="s">
        <v>193</v>
      </c>
      <c r="K149" t="s">
        <v>193</v>
      </c>
      <c r="L149">
        <v>13.55</v>
      </c>
      <c r="M149" t="s">
        <v>193</v>
      </c>
      <c r="N149" t="s">
        <v>193</v>
      </c>
      <c r="O149" t="s">
        <v>193</v>
      </c>
      <c r="P149" t="s">
        <v>193</v>
      </c>
    </row>
    <row r="150" spans="1:16" ht="12.75">
      <c r="A150" s="62" t="str">
        <f t="shared" si="2"/>
        <v>Bolivia_Poverty gap at $2 a day (PPP) (%)</v>
      </c>
      <c r="B150" t="s">
        <v>449</v>
      </c>
      <c r="C150" t="s">
        <v>238</v>
      </c>
      <c r="D150" t="s">
        <v>416</v>
      </c>
      <c r="E150" t="s">
        <v>417</v>
      </c>
      <c r="F150" t="s">
        <v>193</v>
      </c>
      <c r="G150">
        <v>19.51</v>
      </c>
      <c r="H150" t="s">
        <v>193</v>
      </c>
      <c r="I150">
        <v>25.48</v>
      </c>
      <c r="J150" t="s">
        <v>193</v>
      </c>
      <c r="K150" t="s">
        <v>193</v>
      </c>
      <c r="L150">
        <v>23.24</v>
      </c>
      <c r="M150" t="s">
        <v>193</v>
      </c>
      <c r="N150" t="s">
        <v>193</v>
      </c>
      <c r="O150" t="s">
        <v>193</v>
      </c>
      <c r="P150" t="s">
        <v>193</v>
      </c>
    </row>
    <row r="151" spans="1:16" ht="12.75">
      <c r="A151" s="62" t="str">
        <f t="shared" si="2"/>
        <v>Bolivia_Population, total</v>
      </c>
      <c r="B151" t="s">
        <v>449</v>
      </c>
      <c r="C151" t="s">
        <v>238</v>
      </c>
      <c r="D151" t="s">
        <v>418</v>
      </c>
      <c r="E151" t="s">
        <v>419</v>
      </c>
      <c r="F151">
        <v>7647619</v>
      </c>
      <c r="G151">
        <v>7813387</v>
      </c>
      <c r="H151">
        <v>7979559</v>
      </c>
      <c r="I151">
        <v>8147104</v>
      </c>
      <c r="J151">
        <v>8316648</v>
      </c>
      <c r="K151">
        <v>8488241</v>
      </c>
      <c r="L151">
        <v>8661336</v>
      </c>
      <c r="M151">
        <v>8835246</v>
      </c>
      <c r="N151">
        <v>9009045</v>
      </c>
      <c r="O151">
        <v>9182015</v>
      </c>
      <c r="P151">
        <v>9344741.12182041</v>
      </c>
    </row>
    <row r="152" spans="1:16" ht="12.75">
      <c r="A152" s="62" t="str">
        <f t="shared" si="2"/>
        <v>Bolivia_Public spending on education, total (% of GDP)</v>
      </c>
      <c r="B152" t="s">
        <v>449</v>
      </c>
      <c r="C152" t="s">
        <v>238</v>
      </c>
      <c r="D152" t="s">
        <v>420</v>
      </c>
      <c r="E152" t="s">
        <v>421</v>
      </c>
      <c r="F152" t="s">
        <v>193</v>
      </c>
      <c r="G152" t="s">
        <v>193</v>
      </c>
      <c r="H152" t="s">
        <v>193</v>
      </c>
      <c r="I152">
        <v>5.65931867237178</v>
      </c>
      <c r="J152">
        <v>5.47341696183461</v>
      </c>
      <c r="K152">
        <v>5.89946214445366</v>
      </c>
      <c r="L152">
        <v>6.23030815179751</v>
      </c>
      <c r="M152">
        <v>6.37130242449413</v>
      </c>
      <c r="N152" t="s">
        <v>193</v>
      </c>
      <c r="O152" t="s">
        <v>193</v>
      </c>
      <c r="P152" t="s">
        <v>193</v>
      </c>
    </row>
    <row r="153" spans="1:16" ht="12.75">
      <c r="A153" s="62" t="str">
        <f t="shared" si="2"/>
        <v>Bolivia_Public spending on education, total (% of government expenditure)</v>
      </c>
      <c r="B153" t="s">
        <v>449</v>
      </c>
      <c r="C153" t="s">
        <v>238</v>
      </c>
      <c r="D153" t="s">
        <v>422</v>
      </c>
      <c r="E153" t="s">
        <v>423</v>
      </c>
      <c r="F153" t="s">
        <v>193</v>
      </c>
      <c r="G153" t="s">
        <v>193</v>
      </c>
      <c r="H153" t="s">
        <v>193</v>
      </c>
      <c r="I153">
        <v>15.8200000003042</v>
      </c>
      <c r="J153">
        <v>15.8199999889638</v>
      </c>
      <c r="K153">
        <v>18.4000000060766</v>
      </c>
      <c r="L153">
        <v>19.7200000004043</v>
      </c>
      <c r="M153">
        <v>18.0599999996671</v>
      </c>
      <c r="N153" t="s">
        <v>193</v>
      </c>
      <c r="O153" t="s">
        <v>193</v>
      </c>
      <c r="P153" t="s">
        <v>193</v>
      </c>
    </row>
    <row r="154" spans="1:16" ht="12.75">
      <c r="A154" s="62" t="str">
        <f t="shared" si="2"/>
        <v>Bolivia_Health expenditure, public (% of total health expenditure)</v>
      </c>
      <c r="B154" t="s">
        <v>449</v>
      </c>
      <c r="C154" t="s">
        <v>238</v>
      </c>
      <c r="D154" t="s">
        <v>424</v>
      </c>
      <c r="E154" t="s">
        <v>425</v>
      </c>
      <c r="F154" t="s">
        <v>193</v>
      </c>
      <c r="G154" t="s">
        <v>193</v>
      </c>
      <c r="H154" t="s">
        <v>193</v>
      </c>
      <c r="I154" t="s">
        <v>193</v>
      </c>
      <c r="J154">
        <v>60.1</v>
      </c>
      <c r="K154">
        <v>59.3</v>
      </c>
      <c r="L154">
        <v>62.8</v>
      </c>
      <c r="M154">
        <v>64</v>
      </c>
      <c r="N154">
        <v>60.7</v>
      </c>
      <c r="O154" t="s">
        <v>193</v>
      </c>
      <c r="P154" t="s">
        <v>193</v>
      </c>
    </row>
    <row r="155" spans="1:16" ht="12.75">
      <c r="A155" s="62" t="str">
        <f t="shared" si="2"/>
        <v>Bolivia_Health expenditure, public (% of GDP)</v>
      </c>
      <c r="B155" t="s">
        <v>449</v>
      </c>
      <c r="C155" t="s">
        <v>238</v>
      </c>
      <c r="D155" t="s">
        <v>426</v>
      </c>
      <c r="E155" t="s">
        <v>427</v>
      </c>
      <c r="F155" t="s">
        <v>193</v>
      </c>
      <c r="G155" t="s">
        <v>193</v>
      </c>
      <c r="H155" t="s">
        <v>193</v>
      </c>
      <c r="I155" t="s">
        <v>193</v>
      </c>
      <c r="J155">
        <v>3.6661</v>
      </c>
      <c r="K155">
        <v>3.7359</v>
      </c>
      <c r="L155">
        <v>4.082</v>
      </c>
      <c r="M155">
        <v>4.288</v>
      </c>
      <c r="N155">
        <v>4.1276</v>
      </c>
      <c r="O155" t="s">
        <v>193</v>
      </c>
      <c r="P155" t="s">
        <v>193</v>
      </c>
    </row>
    <row r="156" spans="1:16" ht="12.75">
      <c r="A156" s="62" t="str">
        <f t="shared" si="2"/>
        <v>Bolivia_Health expenditure, total (% of GDP)</v>
      </c>
      <c r="B156" t="s">
        <v>449</v>
      </c>
      <c r="C156" t="s">
        <v>238</v>
      </c>
      <c r="D156" t="s">
        <v>428</v>
      </c>
      <c r="E156" t="s">
        <v>429</v>
      </c>
      <c r="F156" t="s">
        <v>193</v>
      </c>
      <c r="G156" t="s">
        <v>193</v>
      </c>
      <c r="H156" t="s">
        <v>193</v>
      </c>
      <c r="I156" t="s">
        <v>193</v>
      </c>
      <c r="J156">
        <v>6.1</v>
      </c>
      <c r="K156">
        <v>6.3</v>
      </c>
      <c r="L156">
        <v>6.5</v>
      </c>
      <c r="M156">
        <v>6.7</v>
      </c>
      <c r="N156">
        <v>6.8</v>
      </c>
      <c r="O156" t="s">
        <v>193</v>
      </c>
      <c r="P156" t="s">
        <v>193</v>
      </c>
    </row>
    <row r="157" spans="1:16" ht="12.75">
      <c r="A157" s="62" t="str">
        <f t="shared" si="2"/>
        <v>Bolivia_GDP (current LCU)</v>
      </c>
      <c r="B157" t="s">
        <v>449</v>
      </c>
      <c r="C157" t="s">
        <v>238</v>
      </c>
      <c r="D157" t="s">
        <v>430</v>
      </c>
      <c r="E157" t="s">
        <v>431</v>
      </c>
      <c r="F157">
        <v>37536645120</v>
      </c>
      <c r="G157">
        <v>41643864064</v>
      </c>
      <c r="H157">
        <v>46822326272</v>
      </c>
      <c r="I157">
        <v>48156176384</v>
      </c>
      <c r="J157">
        <v>51928494080</v>
      </c>
      <c r="K157">
        <v>53790326784</v>
      </c>
      <c r="L157">
        <v>56682328064</v>
      </c>
      <c r="M157">
        <v>61904449536</v>
      </c>
      <c r="N157">
        <v>69626109952</v>
      </c>
      <c r="O157">
        <v>76153765888</v>
      </c>
      <c r="P157">
        <v>89434062848</v>
      </c>
    </row>
    <row r="158" spans="1:16" ht="12.75">
      <c r="A158" s="62" t="str">
        <f t="shared" si="2"/>
        <v>Bolivia_GDP (current US$)</v>
      </c>
      <c r="B158" t="s">
        <v>449</v>
      </c>
      <c r="C158" t="s">
        <v>238</v>
      </c>
      <c r="D158" t="s">
        <v>432</v>
      </c>
      <c r="E158" t="s">
        <v>433</v>
      </c>
      <c r="F158">
        <v>7396952064</v>
      </c>
      <c r="G158">
        <v>7925733888</v>
      </c>
      <c r="H158">
        <v>8497499136</v>
      </c>
      <c r="I158">
        <v>8285061632</v>
      </c>
      <c r="J158">
        <v>8397858304</v>
      </c>
      <c r="K158">
        <v>8141513216</v>
      </c>
      <c r="L158">
        <v>7905485312</v>
      </c>
      <c r="M158">
        <v>8082396672</v>
      </c>
      <c r="N158">
        <v>8773152768</v>
      </c>
      <c r="O158">
        <v>9441212416</v>
      </c>
      <c r="P158">
        <v>11163071488</v>
      </c>
    </row>
    <row r="159" spans="1:16" ht="12.75">
      <c r="A159" s="62" t="str">
        <f t="shared" si="2"/>
        <v>Bolivia_GDP per capita, PPP (current international $)</v>
      </c>
      <c r="B159" t="s">
        <v>449</v>
      </c>
      <c r="C159" t="s">
        <v>238</v>
      </c>
      <c r="D159" t="s">
        <v>434</v>
      </c>
      <c r="E159" t="s">
        <v>435</v>
      </c>
      <c r="F159">
        <v>2147.11751980729</v>
      </c>
      <c r="G159">
        <v>2242.52306520122</v>
      </c>
      <c r="H159">
        <v>2331.88219044565</v>
      </c>
      <c r="I159">
        <v>2326.81924289317</v>
      </c>
      <c r="J159">
        <v>2387.48051678264</v>
      </c>
      <c r="K159">
        <v>2435.90043758205</v>
      </c>
      <c r="L159">
        <v>2489.3714437571</v>
      </c>
      <c r="M159">
        <v>2557.55221901059</v>
      </c>
      <c r="N159">
        <v>2681.44979759052</v>
      </c>
      <c r="O159">
        <v>2819.86142589743</v>
      </c>
      <c r="P159">
        <v>2983.93992135253</v>
      </c>
    </row>
    <row r="160" spans="1:16" ht="12.75">
      <c r="A160" s="62" t="str">
        <f t="shared" si="2"/>
        <v>Bolivia_GDP per capita, PPP (constant 2000 international $)</v>
      </c>
      <c r="B160" t="s">
        <v>449</v>
      </c>
      <c r="C160" t="s">
        <v>238</v>
      </c>
      <c r="D160" t="s">
        <v>436</v>
      </c>
      <c r="E160" t="s">
        <v>437</v>
      </c>
      <c r="F160">
        <v>2287.93884057675</v>
      </c>
      <c r="G160">
        <v>2350.3426548657</v>
      </c>
      <c r="H160">
        <v>2417.1427464728</v>
      </c>
      <c r="I160">
        <v>2377.5405361821</v>
      </c>
      <c r="J160">
        <v>2387.48051678264</v>
      </c>
      <c r="K160">
        <v>2378.60442590454</v>
      </c>
      <c r="L160">
        <v>2389.0087868579</v>
      </c>
      <c r="M160">
        <v>2405.4835353766</v>
      </c>
      <c r="N160">
        <v>2457.52894439023</v>
      </c>
      <c r="O160">
        <v>2508.70821506878</v>
      </c>
      <c r="P160">
        <v>2579.16029754897</v>
      </c>
    </row>
    <row r="161" spans="1:16" ht="12.75">
      <c r="A161" s="62" t="str">
        <f t="shared" si="2"/>
        <v>Bolivia_GINI index</v>
      </c>
      <c r="B161" t="s">
        <v>449</v>
      </c>
      <c r="C161" t="s">
        <v>238</v>
      </c>
      <c r="D161" t="s">
        <v>438</v>
      </c>
      <c r="E161" t="s">
        <v>439</v>
      </c>
      <c r="F161" t="s">
        <v>193</v>
      </c>
      <c r="G161">
        <v>58.46</v>
      </c>
      <c r="H161" t="s">
        <v>193</v>
      </c>
      <c r="I161">
        <v>57.79</v>
      </c>
      <c r="J161" t="s">
        <v>193</v>
      </c>
      <c r="K161" t="s">
        <v>193</v>
      </c>
      <c r="L161">
        <v>60.05</v>
      </c>
      <c r="M161" t="s">
        <v>193</v>
      </c>
      <c r="N161" t="s">
        <v>193</v>
      </c>
      <c r="O161" t="s">
        <v>193</v>
      </c>
      <c r="P161" t="s">
        <v>193</v>
      </c>
    </row>
    <row r="162" spans="1:16" ht="12.75">
      <c r="A162" s="62" t="str">
        <f t="shared" si="2"/>
        <v>Bosnia and Herzegovina_Poverty headcount ratio at national poverty line (% of population)</v>
      </c>
      <c r="B162" t="s">
        <v>450</v>
      </c>
      <c r="C162" t="s">
        <v>207</v>
      </c>
      <c r="D162" t="s">
        <v>408</v>
      </c>
      <c r="E162" t="s">
        <v>409</v>
      </c>
      <c r="F162" t="s">
        <v>193</v>
      </c>
      <c r="G162" t="s">
        <v>193</v>
      </c>
      <c r="H162" t="s">
        <v>193</v>
      </c>
      <c r="I162" t="s">
        <v>193</v>
      </c>
      <c r="J162" t="s">
        <v>193</v>
      </c>
      <c r="K162" t="s">
        <v>193</v>
      </c>
      <c r="L162">
        <v>19.5</v>
      </c>
      <c r="M162" t="s">
        <v>193</v>
      </c>
      <c r="N162" t="s">
        <v>193</v>
      </c>
      <c r="O162" t="s">
        <v>193</v>
      </c>
      <c r="P162" t="s">
        <v>193</v>
      </c>
    </row>
    <row r="163" spans="1:16" ht="12.75">
      <c r="A163" s="62" t="str">
        <f t="shared" si="2"/>
        <v>Bosnia and Herzegovina_Poverty headcount ratio at $2 a day (PPP) (% of population)</v>
      </c>
      <c r="B163" t="s">
        <v>450</v>
      </c>
      <c r="C163" t="s">
        <v>207</v>
      </c>
      <c r="D163" t="s">
        <v>410</v>
      </c>
      <c r="E163" t="s">
        <v>411</v>
      </c>
      <c r="F163" t="s">
        <v>193</v>
      </c>
      <c r="G163" t="s">
        <v>193</v>
      </c>
      <c r="H163" t="s">
        <v>193</v>
      </c>
      <c r="I163" t="s">
        <v>193</v>
      </c>
      <c r="J163" t="s">
        <v>193</v>
      </c>
      <c r="K163" t="s">
        <v>193</v>
      </c>
      <c r="L163" t="s">
        <v>193</v>
      </c>
      <c r="M163" t="s">
        <v>193</v>
      </c>
      <c r="N163" t="s">
        <v>193</v>
      </c>
      <c r="O163" t="s">
        <v>193</v>
      </c>
      <c r="P163" t="s">
        <v>193</v>
      </c>
    </row>
    <row r="164" spans="1:16" ht="12.75">
      <c r="A164" s="62" t="str">
        <f t="shared" si="2"/>
        <v>Bosnia and Herzegovina_Poverty headcount ratio at $1 a day (PPP) (% of population)</v>
      </c>
      <c r="B164" t="s">
        <v>450</v>
      </c>
      <c r="C164" t="s">
        <v>207</v>
      </c>
      <c r="D164" t="s">
        <v>412</v>
      </c>
      <c r="E164" t="s">
        <v>413</v>
      </c>
      <c r="F164" t="s">
        <v>193</v>
      </c>
      <c r="G164" t="s">
        <v>193</v>
      </c>
      <c r="H164" t="s">
        <v>193</v>
      </c>
      <c r="I164" t="s">
        <v>193</v>
      </c>
      <c r="J164" t="s">
        <v>193</v>
      </c>
      <c r="K164" t="s">
        <v>193</v>
      </c>
      <c r="L164" t="s">
        <v>193</v>
      </c>
      <c r="M164" t="s">
        <v>193</v>
      </c>
      <c r="N164" t="s">
        <v>193</v>
      </c>
      <c r="O164" t="s">
        <v>193</v>
      </c>
      <c r="P164" t="s">
        <v>193</v>
      </c>
    </row>
    <row r="165" spans="1:16" ht="12.75">
      <c r="A165" s="62" t="str">
        <f t="shared" si="2"/>
        <v>Bosnia and Herzegovina_Poverty gap at $1 a day (PPP) (%)</v>
      </c>
      <c r="B165" t="s">
        <v>450</v>
      </c>
      <c r="C165" t="s">
        <v>207</v>
      </c>
      <c r="D165" t="s">
        <v>414</v>
      </c>
      <c r="E165" t="s">
        <v>415</v>
      </c>
      <c r="F165" t="s">
        <v>193</v>
      </c>
      <c r="G165" t="s">
        <v>193</v>
      </c>
      <c r="H165" t="s">
        <v>193</v>
      </c>
      <c r="I165" t="s">
        <v>193</v>
      </c>
      <c r="J165" t="s">
        <v>193</v>
      </c>
      <c r="K165" t="s">
        <v>193</v>
      </c>
      <c r="L165" t="s">
        <v>193</v>
      </c>
      <c r="M165" t="s">
        <v>193</v>
      </c>
      <c r="N165" t="s">
        <v>193</v>
      </c>
      <c r="O165" t="s">
        <v>193</v>
      </c>
      <c r="P165" t="s">
        <v>193</v>
      </c>
    </row>
    <row r="166" spans="1:16" ht="12.75">
      <c r="A166" s="62" t="str">
        <f t="shared" si="2"/>
        <v>Bosnia and Herzegovina_Poverty gap at $2 a day (PPP) (%)</v>
      </c>
      <c r="B166" t="s">
        <v>450</v>
      </c>
      <c r="C166" t="s">
        <v>207</v>
      </c>
      <c r="D166" t="s">
        <v>416</v>
      </c>
      <c r="E166" t="s">
        <v>417</v>
      </c>
      <c r="F166" t="s">
        <v>193</v>
      </c>
      <c r="G166" t="s">
        <v>193</v>
      </c>
      <c r="H166" t="s">
        <v>193</v>
      </c>
      <c r="I166" t="s">
        <v>193</v>
      </c>
      <c r="J166" t="s">
        <v>193</v>
      </c>
      <c r="K166" t="s">
        <v>193</v>
      </c>
      <c r="L166" t="s">
        <v>193</v>
      </c>
      <c r="M166" t="s">
        <v>193</v>
      </c>
      <c r="N166" t="s">
        <v>193</v>
      </c>
      <c r="O166" t="s">
        <v>193</v>
      </c>
      <c r="P166" t="s">
        <v>193</v>
      </c>
    </row>
    <row r="167" spans="1:16" ht="12.75">
      <c r="A167" s="62" t="str">
        <f t="shared" si="2"/>
        <v>Bosnia and Herzegovina_Population, total</v>
      </c>
      <c r="B167" t="s">
        <v>450</v>
      </c>
      <c r="C167" t="s">
        <v>207</v>
      </c>
      <c r="D167" t="s">
        <v>418</v>
      </c>
      <c r="E167" t="s">
        <v>419</v>
      </c>
      <c r="F167">
        <v>3411903</v>
      </c>
      <c r="G167">
        <v>3489040</v>
      </c>
      <c r="H167">
        <v>3618356</v>
      </c>
      <c r="I167">
        <v>3749856</v>
      </c>
      <c r="J167">
        <v>3847126</v>
      </c>
      <c r="K167">
        <v>3900366</v>
      </c>
      <c r="L167">
        <v>3920808</v>
      </c>
      <c r="M167">
        <v>3918175</v>
      </c>
      <c r="N167">
        <v>3909479</v>
      </c>
      <c r="O167">
        <v>3907074</v>
      </c>
      <c r="P167">
        <v>3908458.21883571</v>
      </c>
    </row>
    <row r="168" spans="1:16" ht="12.75">
      <c r="A168" s="62" t="str">
        <f t="shared" si="2"/>
        <v>Bosnia and Herzegovina_Public spending on education, total (% of GDP)</v>
      </c>
      <c r="B168" t="s">
        <v>450</v>
      </c>
      <c r="C168" t="s">
        <v>207</v>
      </c>
      <c r="D168" t="s">
        <v>420</v>
      </c>
      <c r="E168" t="s">
        <v>421</v>
      </c>
      <c r="F168" t="s">
        <v>193</v>
      </c>
      <c r="G168" t="s">
        <v>193</v>
      </c>
      <c r="H168" t="s">
        <v>193</v>
      </c>
      <c r="I168" t="s">
        <v>193</v>
      </c>
      <c r="J168" t="s">
        <v>193</v>
      </c>
      <c r="K168" t="s">
        <v>193</v>
      </c>
      <c r="L168" t="s">
        <v>193</v>
      </c>
      <c r="M168" t="s">
        <v>193</v>
      </c>
      <c r="N168" t="s">
        <v>193</v>
      </c>
      <c r="O168" t="s">
        <v>193</v>
      </c>
      <c r="P168" t="s">
        <v>193</v>
      </c>
    </row>
    <row r="169" spans="1:16" ht="12.75">
      <c r="A169" s="62" t="str">
        <f t="shared" si="2"/>
        <v>Bosnia and Herzegovina_Public spending on education, total (% of government expenditure)</v>
      </c>
      <c r="B169" t="s">
        <v>450</v>
      </c>
      <c r="C169" t="s">
        <v>207</v>
      </c>
      <c r="D169" t="s">
        <v>422</v>
      </c>
      <c r="E169" t="s">
        <v>423</v>
      </c>
      <c r="F169" t="s">
        <v>193</v>
      </c>
      <c r="G169" t="s">
        <v>193</v>
      </c>
      <c r="H169" t="s">
        <v>193</v>
      </c>
      <c r="I169" t="s">
        <v>193</v>
      </c>
      <c r="J169" t="s">
        <v>193</v>
      </c>
      <c r="K169" t="s">
        <v>193</v>
      </c>
      <c r="L169" t="s">
        <v>193</v>
      </c>
      <c r="M169" t="s">
        <v>193</v>
      </c>
      <c r="N169" t="s">
        <v>193</v>
      </c>
      <c r="O169" t="s">
        <v>193</v>
      </c>
      <c r="P169" t="s">
        <v>193</v>
      </c>
    </row>
    <row r="170" spans="1:16" ht="12.75">
      <c r="A170" s="62" t="str">
        <f t="shared" si="2"/>
        <v>Bosnia and Herzegovina_Health expenditure, public (% of total health expenditure)</v>
      </c>
      <c r="B170" t="s">
        <v>450</v>
      </c>
      <c r="C170" t="s">
        <v>207</v>
      </c>
      <c r="D170" t="s">
        <v>424</v>
      </c>
      <c r="E170" t="s">
        <v>425</v>
      </c>
      <c r="F170" t="s">
        <v>193</v>
      </c>
      <c r="G170" t="s">
        <v>193</v>
      </c>
      <c r="H170" t="s">
        <v>193</v>
      </c>
      <c r="I170" t="s">
        <v>193</v>
      </c>
      <c r="J170">
        <v>51.9</v>
      </c>
      <c r="K170">
        <v>49.9</v>
      </c>
      <c r="L170">
        <v>50.6</v>
      </c>
      <c r="M170">
        <v>52.5</v>
      </c>
      <c r="N170">
        <v>49.4</v>
      </c>
      <c r="O170" t="s">
        <v>193</v>
      </c>
      <c r="P170" t="s">
        <v>193</v>
      </c>
    </row>
    <row r="171" spans="1:16" ht="12.75">
      <c r="A171" s="62" t="str">
        <f t="shared" si="2"/>
        <v>Bosnia and Herzegovina_Health expenditure, public (% of GDP)</v>
      </c>
      <c r="B171" t="s">
        <v>450</v>
      </c>
      <c r="C171" t="s">
        <v>207</v>
      </c>
      <c r="D171" t="s">
        <v>426</v>
      </c>
      <c r="E171" t="s">
        <v>427</v>
      </c>
      <c r="F171" t="s">
        <v>193</v>
      </c>
      <c r="G171" t="s">
        <v>193</v>
      </c>
      <c r="H171" t="s">
        <v>193</v>
      </c>
      <c r="I171" t="s">
        <v>193</v>
      </c>
      <c r="J171">
        <v>4.9305</v>
      </c>
      <c r="K171">
        <v>4.3413</v>
      </c>
      <c r="L171">
        <v>4.4528</v>
      </c>
      <c r="M171">
        <v>4.6725</v>
      </c>
      <c r="N171">
        <v>4.1002</v>
      </c>
      <c r="O171" t="s">
        <v>193</v>
      </c>
      <c r="P171" t="s">
        <v>193</v>
      </c>
    </row>
    <row r="172" spans="1:16" ht="12.75">
      <c r="A172" s="62" t="str">
        <f t="shared" si="2"/>
        <v>Bosnia and Herzegovina_Health expenditure, total (% of GDP)</v>
      </c>
      <c r="B172" t="s">
        <v>450</v>
      </c>
      <c r="C172" t="s">
        <v>207</v>
      </c>
      <c r="D172" t="s">
        <v>428</v>
      </c>
      <c r="E172" t="s">
        <v>429</v>
      </c>
      <c r="F172" t="s">
        <v>193</v>
      </c>
      <c r="G172" t="s">
        <v>193</v>
      </c>
      <c r="H172" t="s">
        <v>193</v>
      </c>
      <c r="I172" t="s">
        <v>193</v>
      </c>
      <c r="J172">
        <v>9.5</v>
      </c>
      <c r="K172">
        <v>8.7</v>
      </c>
      <c r="L172">
        <v>8.8</v>
      </c>
      <c r="M172">
        <v>8.9</v>
      </c>
      <c r="N172">
        <v>8.3</v>
      </c>
      <c r="O172" t="s">
        <v>193</v>
      </c>
      <c r="P172" t="s">
        <v>193</v>
      </c>
    </row>
    <row r="173" spans="1:16" ht="12.75">
      <c r="A173" s="62" t="str">
        <f t="shared" si="2"/>
        <v>Bosnia and Herzegovina_GDP (current LCU)</v>
      </c>
      <c r="B173" t="s">
        <v>450</v>
      </c>
      <c r="C173" t="s">
        <v>207</v>
      </c>
      <c r="D173" t="s">
        <v>430</v>
      </c>
      <c r="E173" t="s">
        <v>431</v>
      </c>
      <c r="F173">
        <v>4192441088</v>
      </c>
      <c r="G173">
        <v>6367297024</v>
      </c>
      <c r="H173">
        <v>7244155904</v>
      </c>
      <c r="I173">
        <v>8602999808</v>
      </c>
      <c r="J173">
        <v>10717731840</v>
      </c>
      <c r="K173">
        <v>11885447168</v>
      </c>
      <c r="L173">
        <v>12762218496</v>
      </c>
      <c r="M173">
        <v>13399207936</v>
      </c>
      <c r="N173">
        <v>14657722368</v>
      </c>
      <c r="O173">
        <v>15605439488</v>
      </c>
      <c r="P173">
        <v>17610000384</v>
      </c>
    </row>
    <row r="174" spans="1:16" ht="12.75">
      <c r="A174" s="62" t="str">
        <f t="shared" si="2"/>
        <v>Bosnia and Herzegovina_GDP (current US$)</v>
      </c>
      <c r="B174" t="s">
        <v>450</v>
      </c>
      <c r="C174" t="s">
        <v>207</v>
      </c>
      <c r="D174" t="s">
        <v>432</v>
      </c>
      <c r="E174" t="s">
        <v>433</v>
      </c>
      <c r="F174">
        <v>2786045440</v>
      </c>
      <c r="G174">
        <v>3671816448</v>
      </c>
      <c r="H174">
        <v>4116699648</v>
      </c>
      <c r="I174">
        <v>4685729792</v>
      </c>
      <c r="J174">
        <v>5048390144</v>
      </c>
      <c r="K174">
        <v>5438070784</v>
      </c>
      <c r="L174">
        <v>6141587456</v>
      </c>
      <c r="M174">
        <v>7731799040</v>
      </c>
      <c r="N174">
        <v>9306489856</v>
      </c>
      <c r="O174">
        <v>9923968000</v>
      </c>
      <c r="P174">
        <v>11295702016</v>
      </c>
    </row>
    <row r="175" spans="1:16" ht="12.75">
      <c r="A175" s="62" t="str">
        <f t="shared" si="2"/>
        <v>Bosnia and Herzegovina_GDP per capita, PPP (current international $)</v>
      </c>
      <c r="B175" t="s">
        <v>450</v>
      </c>
      <c r="C175" t="s">
        <v>207</v>
      </c>
      <c r="D175" t="s">
        <v>434</v>
      </c>
      <c r="E175" t="s">
        <v>435</v>
      </c>
      <c r="F175" t="s">
        <v>193</v>
      </c>
      <c r="G175" t="s">
        <v>193</v>
      </c>
      <c r="H175" t="s">
        <v>193</v>
      </c>
      <c r="I175" t="s">
        <v>193</v>
      </c>
      <c r="J175" t="s">
        <v>193</v>
      </c>
      <c r="K175" t="s">
        <v>193</v>
      </c>
      <c r="L175" t="s">
        <v>193</v>
      </c>
      <c r="M175" t="s">
        <v>193</v>
      </c>
      <c r="N175" t="s">
        <v>193</v>
      </c>
      <c r="O175" t="s">
        <v>193</v>
      </c>
      <c r="P175" t="s">
        <v>193</v>
      </c>
    </row>
    <row r="176" spans="1:16" ht="12.75">
      <c r="A176" s="62" t="str">
        <f t="shared" si="2"/>
        <v>Bosnia and Herzegovina_GDP per capita, PPP (constant 2000 international $)</v>
      </c>
      <c r="B176" t="s">
        <v>450</v>
      </c>
      <c r="C176" t="s">
        <v>207</v>
      </c>
      <c r="D176" t="s">
        <v>436</v>
      </c>
      <c r="E176" t="s">
        <v>437</v>
      </c>
      <c r="F176" t="s">
        <v>193</v>
      </c>
      <c r="G176" t="s">
        <v>193</v>
      </c>
      <c r="H176" t="s">
        <v>193</v>
      </c>
      <c r="I176" t="s">
        <v>193</v>
      </c>
      <c r="J176" t="s">
        <v>193</v>
      </c>
      <c r="K176" t="s">
        <v>193</v>
      </c>
      <c r="L176" t="s">
        <v>193</v>
      </c>
      <c r="M176" t="s">
        <v>193</v>
      </c>
      <c r="N176" t="s">
        <v>193</v>
      </c>
      <c r="O176" t="s">
        <v>193</v>
      </c>
      <c r="P176" t="s">
        <v>193</v>
      </c>
    </row>
    <row r="177" spans="1:16" ht="12.75">
      <c r="A177" s="62" t="str">
        <f t="shared" si="2"/>
        <v>Bosnia and Herzegovina_GINI index</v>
      </c>
      <c r="B177" t="s">
        <v>450</v>
      </c>
      <c r="C177" t="s">
        <v>207</v>
      </c>
      <c r="D177" t="s">
        <v>438</v>
      </c>
      <c r="E177" t="s">
        <v>439</v>
      </c>
      <c r="F177" t="s">
        <v>193</v>
      </c>
      <c r="G177" t="s">
        <v>193</v>
      </c>
      <c r="H177" t="s">
        <v>193</v>
      </c>
      <c r="I177" t="s">
        <v>193</v>
      </c>
      <c r="J177" t="s">
        <v>193</v>
      </c>
      <c r="K177">
        <v>26.15</v>
      </c>
      <c r="L177" t="s">
        <v>193</v>
      </c>
      <c r="M177" t="s">
        <v>193</v>
      </c>
      <c r="N177" t="s">
        <v>193</v>
      </c>
      <c r="O177" t="s">
        <v>193</v>
      </c>
      <c r="P177" t="s">
        <v>193</v>
      </c>
    </row>
    <row r="178" spans="1:16" ht="12.75">
      <c r="A178" s="62" t="str">
        <f t="shared" si="2"/>
        <v>Botswana_Poverty headcount ratio at national poverty line (% of population)</v>
      </c>
      <c r="B178" t="s">
        <v>451</v>
      </c>
      <c r="C178" t="s">
        <v>373</v>
      </c>
      <c r="D178" t="s">
        <v>408</v>
      </c>
      <c r="E178" t="s">
        <v>409</v>
      </c>
      <c r="F178" t="s">
        <v>193</v>
      </c>
      <c r="G178" t="s">
        <v>193</v>
      </c>
      <c r="H178" t="s">
        <v>193</v>
      </c>
      <c r="I178" t="s">
        <v>193</v>
      </c>
      <c r="J178" t="s">
        <v>193</v>
      </c>
      <c r="K178" t="s">
        <v>193</v>
      </c>
      <c r="L178" t="s">
        <v>193</v>
      </c>
      <c r="M178" t="s">
        <v>193</v>
      </c>
      <c r="N178" t="s">
        <v>193</v>
      </c>
      <c r="O178" t="s">
        <v>193</v>
      </c>
      <c r="P178" t="s">
        <v>193</v>
      </c>
    </row>
    <row r="179" spans="1:16" ht="12.75">
      <c r="A179" s="62" t="str">
        <f aca="true" t="shared" si="3" ref="A179:A242">C179&amp;"_"&amp;E179</f>
        <v>Botswana_Poverty headcount ratio at $2 a day (PPP) (% of population)</v>
      </c>
      <c r="B179" t="s">
        <v>451</v>
      </c>
      <c r="C179" t="s">
        <v>373</v>
      </c>
      <c r="D179" t="s">
        <v>410</v>
      </c>
      <c r="E179" t="s">
        <v>411</v>
      </c>
      <c r="F179" t="s">
        <v>193</v>
      </c>
      <c r="G179" t="s">
        <v>193</v>
      </c>
      <c r="H179" t="s">
        <v>193</v>
      </c>
      <c r="I179" t="s">
        <v>193</v>
      </c>
      <c r="J179" t="s">
        <v>193</v>
      </c>
      <c r="K179" t="s">
        <v>193</v>
      </c>
      <c r="L179" t="s">
        <v>193</v>
      </c>
      <c r="M179" t="s">
        <v>193</v>
      </c>
      <c r="N179" t="s">
        <v>193</v>
      </c>
      <c r="O179" t="s">
        <v>193</v>
      </c>
      <c r="P179" t="s">
        <v>193</v>
      </c>
    </row>
    <row r="180" spans="1:16" ht="12.75">
      <c r="A180" s="62" t="str">
        <f t="shared" si="3"/>
        <v>Botswana_Poverty headcount ratio at $1 a day (PPP) (% of population)</v>
      </c>
      <c r="B180" t="s">
        <v>451</v>
      </c>
      <c r="C180" t="s">
        <v>373</v>
      </c>
      <c r="D180" t="s">
        <v>412</v>
      </c>
      <c r="E180" t="s">
        <v>413</v>
      </c>
      <c r="F180" t="s">
        <v>193</v>
      </c>
      <c r="G180" t="s">
        <v>193</v>
      </c>
      <c r="H180" t="s">
        <v>193</v>
      </c>
      <c r="I180" t="s">
        <v>193</v>
      </c>
      <c r="J180" t="s">
        <v>193</v>
      </c>
      <c r="K180" t="s">
        <v>193</v>
      </c>
      <c r="L180" t="s">
        <v>193</v>
      </c>
      <c r="M180" t="s">
        <v>193</v>
      </c>
      <c r="N180" t="s">
        <v>193</v>
      </c>
      <c r="O180" t="s">
        <v>193</v>
      </c>
      <c r="P180" t="s">
        <v>193</v>
      </c>
    </row>
    <row r="181" spans="1:16" ht="12.75">
      <c r="A181" s="62" t="str">
        <f t="shared" si="3"/>
        <v>Botswana_Poverty gap at $1 a day (PPP) (%)</v>
      </c>
      <c r="B181" t="s">
        <v>451</v>
      </c>
      <c r="C181" t="s">
        <v>373</v>
      </c>
      <c r="D181" t="s">
        <v>414</v>
      </c>
      <c r="E181" t="s">
        <v>415</v>
      </c>
      <c r="F181" t="s">
        <v>193</v>
      </c>
      <c r="G181" t="s">
        <v>193</v>
      </c>
      <c r="H181" t="s">
        <v>193</v>
      </c>
      <c r="I181" t="s">
        <v>193</v>
      </c>
      <c r="J181" t="s">
        <v>193</v>
      </c>
      <c r="K181" t="s">
        <v>193</v>
      </c>
      <c r="L181" t="s">
        <v>193</v>
      </c>
      <c r="M181" t="s">
        <v>193</v>
      </c>
      <c r="N181" t="s">
        <v>193</v>
      </c>
      <c r="O181" t="s">
        <v>193</v>
      </c>
      <c r="P181" t="s">
        <v>193</v>
      </c>
    </row>
    <row r="182" spans="1:16" ht="12.75">
      <c r="A182" s="62" t="str">
        <f t="shared" si="3"/>
        <v>Botswana_Poverty gap at $2 a day (PPP) (%)</v>
      </c>
      <c r="B182" t="s">
        <v>451</v>
      </c>
      <c r="C182" t="s">
        <v>373</v>
      </c>
      <c r="D182" t="s">
        <v>416</v>
      </c>
      <c r="E182" t="s">
        <v>417</v>
      </c>
      <c r="F182" t="s">
        <v>193</v>
      </c>
      <c r="G182" t="s">
        <v>193</v>
      </c>
      <c r="H182" t="s">
        <v>193</v>
      </c>
      <c r="I182" t="s">
        <v>193</v>
      </c>
      <c r="J182" t="s">
        <v>193</v>
      </c>
      <c r="K182" t="s">
        <v>193</v>
      </c>
      <c r="L182" t="s">
        <v>193</v>
      </c>
      <c r="M182" t="s">
        <v>193</v>
      </c>
      <c r="N182" t="s">
        <v>193</v>
      </c>
      <c r="O182" t="s">
        <v>193</v>
      </c>
      <c r="P182" t="s">
        <v>193</v>
      </c>
    </row>
    <row r="183" spans="1:16" ht="12.75">
      <c r="A183" s="62" t="str">
        <f t="shared" si="3"/>
        <v>Botswana_Population, total</v>
      </c>
      <c r="B183" t="s">
        <v>451</v>
      </c>
      <c r="C183" t="s">
        <v>373</v>
      </c>
      <c r="D183" t="s">
        <v>418</v>
      </c>
      <c r="E183" t="s">
        <v>419</v>
      </c>
      <c r="F183">
        <v>1649650</v>
      </c>
      <c r="G183">
        <v>1682072</v>
      </c>
      <c r="H183">
        <v>1711377</v>
      </c>
      <c r="I183">
        <v>1735759</v>
      </c>
      <c r="J183">
        <v>1754002</v>
      </c>
      <c r="K183">
        <v>1765570</v>
      </c>
      <c r="L183">
        <v>1771008</v>
      </c>
      <c r="M183">
        <v>1771556</v>
      </c>
      <c r="N183">
        <v>1769050</v>
      </c>
      <c r="O183">
        <v>1764926</v>
      </c>
      <c r="P183">
        <v>1757884.84240877</v>
      </c>
    </row>
    <row r="184" spans="1:16" ht="12.75">
      <c r="A184" s="62" t="str">
        <f t="shared" si="3"/>
        <v>Botswana_Public spending on education, total (% of GDP)</v>
      </c>
      <c r="B184" t="s">
        <v>451</v>
      </c>
      <c r="C184" t="s">
        <v>373</v>
      </c>
      <c r="D184" t="s">
        <v>420</v>
      </c>
      <c r="E184" t="s">
        <v>421</v>
      </c>
      <c r="F184" t="s">
        <v>193</v>
      </c>
      <c r="G184" t="s">
        <v>193</v>
      </c>
      <c r="H184" t="s">
        <v>193</v>
      </c>
      <c r="I184" t="s">
        <v>193</v>
      </c>
      <c r="J184" t="s">
        <v>193</v>
      </c>
      <c r="K184" t="s">
        <v>193</v>
      </c>
      <c r="L184" t="s">
        <v>193</v>
      </c>
      <c r="M184" t="s">
        <v>193</v>
      </c>
      <c r="N184" t="s">
        <v>193</v>
      </c>
      <c r="O184">
        <v>10.658871796071</v>
      </c>
      <c r="P184" t="s">
        <v>193</v>
      </c>
    </row>
    <row r="185" spans="1:16" ht="12.75">
      <c r="A185" s="62" t="str">
        <f t="shared" si="3"/>
        <v>Botswana_Public spending on education, total (% of government expenditure)</v>
      </c>
      <c r="B185" t="s">
        <v>451</v>
      </c>
      <c r="C185" t="s">
        <v>373</v>
      </c>
      <c r="D185" t="s">
        <v>422</v>
      </c>
      <c r="E185" t="s">
        <v>423</v>
      </c>
      <c r="F185" t="s">
        <v>193</v>
      </c>
      <c r="G185" t="s">
        <v>193</v>
      </c>
      <c r="H185" t="s">
        <v>193</v>
      </c>
      <c r="I185" t="s">
        <v>193</v>
      </c>
      <c r="J185" t="s">
        <v>193</v>
      </c>
      <c r="K185" t="s">
        <v>193</v>
      </c>
      <c r="L185" t="s">
        <v>193</v>
      </c>
      <c r="M185" t="s">
        <v>193</v>
      </c>
      <c r="N185" t="s">
        <v>193</v>
      </c>
      <c r="O185">
        <v>21.5486155407757</v>
      </c>
      <c r="P185" t="s">
        <v>193</v>
      </c>
    </row>
    <row r="186" spans="1:16" ht="12.75">
      <c r="A186" s="62" t="str">
        <f t="shared" si="3"/>
        <v>Botswana_Health expenditure, public (% of total health expenditure)</v>
      </c>
      <c r="B186" t="s">
        <v>451</v>
      </c>
      <c r="C186" t="s">
        <v>373</v>
      </c>
      <c r="D186" t="s">
        <v>424</v>
      </c>
      <c r="E186" t="s">
        <v>425</v>
      </c>
      <c r="F186" t="s">
        <v>193</v>
      </c>
      <c r="G186" t="s">
        <v>193</v>
      </c>
      <c r="H186" t="s">
        <v>193</v>
      </c>
      <c r="I186" t="s">
        <v>193</v>
      </c>
      <c r="J186">
        <v>50</v>
      </c>
      <c r="K186">
        <v>49.5</v>
      </c>
      <c r="L186">
        <v>54</v>
      </c>
      <c r="M186">
        <v>58.2</v>
      </c>
      <c r="N186">
        <v>62.9</v>
      </c>
      <c r="O186" t="s">
        <v>193</v>
      </c>
      <c r="P186" t="s">
        <v>193</v>
      </c>
    </row>
    <row r="187" spans="1:16" ht="12.75">
      <c r="A187" s="62" t="str">
        <f t="shared" si="3"/>
        <v>Botswana_Health expenditure, public (% of GDP)</v>
      </c>
      <c r="B187" t="s">
        <v>451</v>
      </c>
      <c r="C187" t="s">
        <v>373</v>
      </c>
      <c r="D187" t="s">
        <v>426</v>
      </c>
      <c r="E187" t="s">
        <v>427</v>
      </c>
      <c r="F187" t="s">
        <v>193</v>
      </c>
      <c r="G187" t="s">
        <v>193</v>
      </c>
      <c r="H187" t="s">
        <v>193</v>
      </c>
      <c r="I187" t="s">
        <v>193</v>
      </c>
      <c r="J187">
        <v>2.1</v>
      </c>
      <c r="K187">
        <v>1.881</v>
      </c>
      <c r="L187">
        <v>2.43</v>
      </c>
      <c r="M187">
        <v>3.0264</v>
      </c>
      <c r="N187">
        <v>4.0256</v>
      </c>
      <c r="O187" t="s">
        <v>193</v>
      </c>
      <c r="P187" t="s">
        <v>193</v>
      </c>
    </row>
    <row r="188" spans="1:16" ht="12.75">
      <c r="A188" s="62" t="str">
        <f t="shared" si="3"/>
        <v>Botswana_Health expenditure, total (% of GDP)</v>
      </c>
      <c r="B188" t="s">
        <v>451</v>
      </c>
      <c r="C188" t="s">
        <v>373</v>
      </c>
      <c r="D188" t="s">
        <v>428</v>
      </c>
      <c r="E188" t="s">
        <v>429</v>
      </c>
      <c r="F188" t="s">
        <v>193</v>
      </c>
      <c r="G188" t="s">
        <v>193</v>
      </c>
      <c r="H188" t="s">
        <v>193</v>
      </c>
      <c r="I188" t="s">
        <v>193</v>
      </c>
      <c r="J188">
        <v>4.2</v>
      </c>
      <c r="K188">
        <v>3.8</v>
      </c>
      <c r="L188">
        <v>4.5</v>
      </c>
      <c r="M188">
        <v>5.2</v>
      </c>
      <c r="N188">
        <v>6.4</v>
      </c>
      <c r="O188" t="s">
        <v>193</v>
      </c>
      <c r="P188" t="s">
        <v>193</v>
      </c>
    </row>
    <row r="189" spans="1:16" ht="12.75">
      <c r="A189" s="62" t="str">
        <f t="shared" si="3"/>
        <v>Botswana_GDP (current LCU)</v>
      </c>
      <c r="B189" t="s">
        <v>451</v>
      </c>
      <c r="C189" t="s">
        <v>373</v>
      </c>
      <c r="D189" t="s">
        <v>430</v>
      </c>
      <c r="E189" t="s">
        <v>431</v>
      </c>
      <c r="F189">
        <v>15955619840</v>
      </c>
      <c r="G189">
        <v>18911012864</v>
      </c>
      <c r="H189">
        <v>21935237120</v>
      </c>
      <c r="I189">
        <v>26000336896</v>
      </c>
      <c r="J189">
        <v>31515994112</v>
      </c>
      <c r="K189">
        <v>35240235008</v>
      </c>
      <c r="L189">
        <v>37545787392</v>
      </c>
      <c r="M189">
        <v>40985608192</v>
      </c>
      <c r="N189">
        <v>46096924672</v>
      </c>
      <c r="O189">
        <v>53379162112</v>
      </c>
      <c r="P189">
        <v>60289228800</v>
      </c>
    </row>
    <row r="190" spans="1:16" ht="12.75">
      <c r="A190" s="62" t="str">
        <f t="shared" si="3"/>
        <v>Botswana_GDP (current US$)</v>
      </c>
      <c r="B190" t="s">
        <v>451</v>
      </c>
      <c r="C190" t="s">
        <v>373</v>
      </c>
      <c r="D190" t="s">
        <v>432</v>
      </c>
      <c r="E190" t="s">
        <v>433</v>
      </c>
      <c r="F190">
        <v>4800125952</v>
      </c>
      <c r="G190">
        <v>5179680768</v>
      </c>
      <c r="H190">
        <v>5190543360</v>
      </c>
      <c r="I190">
        <v>5622910464</v>
      </c>
      <c r="J190">
        <v>6177184256</v>
      </c>
      <c r="K190">
        <v>6033253376</v>
      </c>
      <c r="L190">
        <v>5933278720</v>
      </c>
      <c r="M190">
        <v>8279921152</v>
      </c>
      <c r="N190">
        <v>9822485504</v>
      </c>
      <c r="O190">
        <v>10445202432</v>
      </c>
      <c r="P190">
        <v>10327742464</v>
      </c>
    </row>
    <row r="191" spans="1:16" ht="12.75">
      <c r="A191" s="62" t="str">
        <f t="shared" si="3"/>
        <v>Botswana_GDP per capita, PPP (current international $)</v>
      </c>
      <c r="B191" t="s">
        <v>451</v>
      </c>
      <c r="C191" t="s">
        <v>373</v>
      </c>
      <c r="D191" t="s">
        <v>434</v>
      </c>
      <c r="E191" t="s">
        <v>435</v>
      </c>
      <c r="F191">
        <v>5894.99989617425</v>
      </c>
      <c r="G191">
        <v>6475.69850245778</v>
      </c>
      <c r="H191">
        <v>7116.65045233594</v>
      </c>
      <c r="I191">
        <v>7631.85556024582</v>
      </c>
      <c r="J191">
        <v>8352.80535609582</v>
      </c>
      <c r="K191">
        <v>8941.58777643416</v>
      </c>
      <c r="L191">
        <v>9581.5640784614</v>
      </c>
      <c r="M191">
        <v>10376.5178845115</v>
      </c>
      <c r="N191">
        <v>11322.7671562993</v>
      </c>
      <c r="O191">
        <v>12153.5359953135</v>
      </c>
      <c r="P191">
        <v>13088.7966115971</v>
      </c>
    </row>
    <row r="192" spans="1:16" ht="12.75">
      <c r="A192" s="62" t="str">
        <f t="shared" si="3"/>
        <v>Botswana_GDP per capita, PPP (constant 2000 international $)</v>
      </c>
      <c r="B192" t="s">
        <v>451</v>
      </c>
      <c r="C192" t="s">
        <v>373</v>
      </c>
      <c r="D192" t="s">
        <v>436</v>
      </c>
      <c r="E192" t="s">
        <v>437</v>
      </c>
      <c r="F192">
        <v>6281.63065283148</v>
      </c>
      <c r="G192">
        <v>6787.04743177782</v>
      </c>
      <c r="H192">
        <v>7376.85638259397</v>
      </c>
      <c r="I192">
        <v>7798.21897046445</v>
      </c>
      <c r="J192">
        <v>8352.80535609582</v>
      </c>
      <c r="K192">
        <v>8731.26829467297</v>
      </c>
      <c r="L192">
        <v>9195.26928481945</v>
      </c>
      <c r="M192">
        <v>9759.54380919324</v>
      </c>
      <c r="N192">
        <v>10377.2325113826</v>
      </c>
      <c r="O192">
        <v>10812.4730221002</v>
      </c>
      <c r="P192">
        <v>11313.2654989995</v>
      </c>
    </row>
    <row r="193" spans="1:16" ht="12.75">
      <c r="A193" s="62" t="str">
        <f t="shared" si="3"/>
        <v>Botswana_GINI index</v>
      </c>
      <c r="B193" t="s">
        <v>451</v>
      </c>
      <c r="C193" t="s">
        <v>373</v>
      </c>
      <c r="D193" t="s">
        <v>438</v>
      </c>
      <c r="E193" t="s">
        <v>439</v>
      </c>
      <c r="F193" t="s">
        <v>193</v>
      </c>
      <c r="G193" t="s">
        <v>193</v>
      </c>
      <c r="H193" t="s">
        <v>193</v>
      </c>
      <c r="I193" t="s">
        <v>193</v>
      </c>
      <c r="J193" t="s">
        <v>193</v>
      </c>
      <c r="K193" t="s">
        <v>193</v>
      </c>
      <c r="L193" t="s">
        <v>193</v>
      </c>
      <c r="M193" t="s">
        <v>193</v>
      </c>
      <c r="N193" t="s">
        <v>193</v>
      </c>
      <c r="O193" t="s">
        <v>193</v>
      </c>
      <c r="P193" t="s">
        <v>193</v>
      </c>
    </row>
    <row r="194" spans="1:16" ht="12.75">
      <c r="A194" s="62" t="str">
        <f t="shared" si="3"/>
        <v>Brazil_Poverty headcount ratio at national poverty line (% of population)</v>
      </c>
      <c r="B194" t="s">
        <v>452</v>
      </c>
      <c r="C194" t="s">
        <v>239</v>
      </c>
      <c r="D194" t="s">
        <v>408</v>
      </c>
      <c r="E194" t="s">
        <v>409</v>
      </c>
      <c r="F194" t="s">
        <v>193</v>
      </c>
      <c r="G194" t="s">
        <v>193</v>
      </c>
      <c r="H194">
        <v>22</v>
      </c>
      <c r="I194" t="s">
        <v>193</v>
      </c>
      <c r="J194" t="s">
        <v>193</v>
      </c>
      <c r="K194" t="s">
        <v>193</v>
      </c>
      <c r="L194" t="s">
        <v>193</v>
      </c>
      <c r="M194">
        <v>21.5</v>
      </c>
      <c r="N194" t="s">
        <v>193</v>
      </c>
      <c r="O194" t="s">
        <v>193</v>
      </c>
      <c r="P194" t="s">
        <v>193</v>
      </c>
    </row>
    <row r="195" spans="1:16" ht="12.75">
      <c r="A195" s="62" t="str">
        <f t="shared" si="3"/>
        <v>Brazil_Poverty headcount ratio at $2 a day (PPP) (% of population)</v>
      </c>
      <c r="B195" t="s">
        <v>452</v>
      </c>
      <c r="C195" t="s">
        <v>239</v>
      </c>
      <c r="D195" t="s">
        <v>410</v>
      </c>
      <c r="E195" t="s">
        <v>411</v>
      </c>
      <c r="F195">
        <v>21.73</v>
      </c>
      <c r="G195" t="s">
        <v>193</v>
      </c>
      <c r="H195" t="s">
        <v>193</v>
      </c>
      <c r="I195">
        <v>22.97</v>
      </c>
      <c r="J195" t="s">
        <v>193</v>
      </c>
      <c r="K195">
        <v>22.43</v>
      </c>
      <c r="L195" t="s">
        <v>193</v>
      </c>
      <c r="M195">
        <v>21.73</v>
      </c>
      <c r="N195">
        <v>21.152</v>
      </c>
      <c r="O195" t="s">
        <v>193</v>
      </c>
      <c r="P195" t="s">
        <v>193</v>
      </c>
    </row>
    <row r="196" spans="1:16" ht="12.75">
      <c r="A196" s="62" t="str">
        <f t="shared" si="3"/>
        <v>Brazil_Poverty headcount ratio at $1 a day (PPP) (% of population)</v>
      </c>
      <c r="B196" t="s">
        <v>452</v>
      </c>
      <c r="C196" t="s">
        <v>239</v>
      </c>
      <c r="D196" t="s">
        <v>412</v>
      </c>
      <c r="E196" t="s">
        <v>413</v>
      </c>
      <c r="F196">
        <v>6.86</v>
      </c>
      <c r="G196" t="s">
        <v>193</v>
      </c>
      <c r="H196" t="s">
        <v>193</v>
      </c>
      <c r="I196">
        <v>8.01</v>
      </c>
      <c r="J196" t="s">
        <v>193</v>
      </c>
      <c r="K196">
        <v>8.17</v>
      </c>
      <c r="L196" t="s">
        <v>193</v>
      </c>
      <c r="M196">
        <v>7.41</v>
      </c>
      <c r="N196">
        <v>7.536</v>
      </c>
      <c r="O196" t="s">
        <v>193</v>
      </c>
      <c r="P196" t="s">
        <v>193</v>
      </c>
    </row>
    <row r="197" spans="1:16" ht="12.75">
      <c r="A197" s="62" t="str">
        <f t="shared" si="3"/>
        <v>Brazil_Poverty gap at $1 a day (PPP) (%)</v>
      </c>
      <c r="B197" t="s">
        <v>452</v>
      </c>
      <c r="C197" t="s">
        <v>239</v>
      </c>
      <c r="D197" t="s">
        <v>414</v>
      </c>
      <c r="E197" t="s">
        <v>415</v>
      </c>
      <c r="F197">
        <v>1.37</v>
      </c>
      <c r="G197" t="s">
        <v>193</v>
      </c>
      <c r="H197" t="s">
        <v>193</v>
      </c>
      <c r="I197">
        <v>1.886</v>
      </c>
      <c r="J197" t="s">
        <v>193</v>
      </c>
      <c r="K197">
        <v>2.09</v>
      </c>
      <c r="L197" t="s">
        <v>193</v>
      </c>
      <c r="M197">
        <v>1.74</v>
      </c>
      <c r="N197">
        <v>3.372</v>
      </c>
      <c r="O197" t="s">
        <v>193</v>
      </c>
      <c r="P197" t="s">
        <v>193</v>
      </c>
    </row>
    <row r="198" spans="1:16" ht="12.75">
      <c r="A198" s="62" t="str">
        <f t="shared" si="3"/>
        <v>Brazil_Poverty gap at $2 a day (PPP) (%)</v>
      </c>
      <c r="B198" t="s">
        <v>452</v>
      </c>
      <c r="C198" t="s">
        <v>239</v>
      </c>
      <c r="D198" t="s">
        <v>416</v>
      </c>
      <c r="E198" t="s">
        <v>417</v>
      </c>
      <c r="F198">
        <v>7.97</v>
      </c>
      <c r="G198" t="s">
        <v>193</v>
      </c>
      <c r="H198" t="s">
        <v>193</v>
      </c>
      <c r="I198">
        <v>8.813</v>
      </c>
      <c r="J198" t="s">
        <v>193</v>
      </c>
      <c r="K198">
        <v>8.8</v>
      </c>
      <c r="L198" t="s">
        <v>193</v>
      </c>
      <c r="M198">
        <v>8.25</v>
      </c>
      <c r="N198">
        <v>8.516</v>
      </c>
      <c r="O198" t="s">
        <v>193</v>
      </c>
      <c r="P198" t="s">
        <v>193</v>
      </c>
    </row>
    <row r="199" spans="1:16" ht="12.75">
      <c r="A199" s="62" t="str">
        <f t="shared" si="3"/>
        <v>Brazil_Population, total</v>
      </c>
      <c r="B199" t="s">
        <v>452</v>
      </c>
      <c r="C199" t="s">
        <v>239</v>
      </c>
      <c r="D199" t="s">
        <v>418</v>
      </c>
      <c r="E199" t="s">
        <v>419</v>
      </c>
      <c r="F199">
        <v>163819245</v>
      </c>
      <c r="G199">
        <v>166300927</v>
      </c>
      <c r="H199">
        <v>168811733</v>
      </c>
      <c r="I199">
        <v>171335003</v>
      </c>
      <c r="J199">
        <v>173857672</v>
      </c>
      <c r="K199">
        <v>176376971</v>
      </c>
      <c r="L199">
        <v>178894868</v>
      </c>
      <c r="M199">
        <v>181407866</v>
      </c>
      <c r="N199">
        <v>183912538</v>
      </c>
      <c r="O199">
        <v>186404913</v>
      </c>
      <c r="P199">
        <v>188694395.147872</v>
      </c>
    </row>
    <row r="200" spans="1:16" ht="12.75">
      <c r="A200" s="62" t="str">
        <f t="shared" si="3"/>
        <v>Brazil_Public spending on education, total (% of GDP)</v>
      </c>
      <c r="B200" t="s">
        <v>452</v>
      </c>
      <c r="C200" t="s">
        <v>239</v>
      </c>
      <c r="D200" t="s">
        <v>420</v>
      </c>
      <c r="E200" t="s">
        <v>421</v>
      </c>
      <c r="F200" t="s">
        <v>193</v>
      </c>
      <c r="G200" t="s">
        <v>193</v>
      </c>
      <c r="H200" t="s">
        <v>193</v>
      </c>
      <c r="I200">
        <v>4.24499827785165</v>
      </c>
      <c r="J200">
        <v>4.29975429098269</v>
      </c>
      <c r="K200">
        <v>4.21999509081305</v>
      </c>
      <c r="L200">
        <v>4.14813894356296</v>
      </c>
      <c r="M200" t="s">
        <v>193</v>
      </c>
      <c r="N200">
        <v>4.40448254995245</v>
      </c>
      <c r="O200" t="s">
        <v>193</v>
      </c>
      <c r="P200" t="s">
        <v>193</v>
      </c>
    </row>
    <row r="201" spans="1:16" ht="12.75">
      <c r="A201" s="62" t="str">
        <f t="shared" si="3"/>
        <v>Brazil_Public spending on education, total (% of government expenditure)</v>
      </c>
      <c r="B201" t="s">
        <v>452</v>
      </c>
      <c r="C201" t="s">
        <v>239</v>
      </c>
      <c r="D201" t="s">
        <v>422</v>
      </c>
      <c r="E201" t="s">
        <v>423</v>
      </c>
      <c r="F201" t="s">
        <v>193</v>
      </c>
      <c r="G201" t="s">
        <v>193</v>
      </c>
      <c r="H201" t="s">
        <v>193</v>
      </c>
      <c r="I201">
        <v>10.4237681863858</v>
      </c>
      <c r="J201">
        <v>12.0074333098677</v>
      </c>
      <c r="K201">
        <v>11.2702922140221</v>
      </c>
      <c r="L201">
        <v>10.8623791840758</v>
      </c>
      <c r="M201" t="s">
        <v>193</v>
      </c>
      <c r="N201" t="s">
        <v>193</v>
      </c>
      <c r="O201" t="s">
        <v>193</v>
      </c>
      <c r="P201" t="s">
        <v>193</v>
      </c>
    </row>
    <row r="202" spans="1:16" ht="12.75">
      <c r="A202" s="62" t="str">
        <f t="shared" si="3"/>
        <v>Brazil_Health expenditure, public (% of total health expenditure)</v>
      </c>
      <c r="B202" t="s">
        <v>452</v>
      </c>
      <c r="C202" t="s">
        <v>239</v>
      </c>
      <c r="D202" t="s">
        <v>424</v>
      </c>
      <c r="E202" t="s">
        <v>425</v>
      </c>
      <c r="F202" t="s">
        <v>193</v>
      </c>
      <c r="G202" t="s">
        <v>193</v>
      </c>
      <c r="H202" t="s">
        <v>193</v>
      </c>
      <c r="I202" t="s">
        <v>193</v>
      </c>
      <c r="J202">
        <v>41</v>
      </c>
      <c r="K202">
        <v>42.9</v>
      </c>
      <c r="L202">
        <v>49</v>
      </c>
      <c r="M202">
        <v>52.3</v>
      </c>
      <c r="N202">
        <v>54.1</v>
      </c>
      <c r="O202" t="s">
        <v>193</v>
      </c>
      <c r="P202" t="s">
        <v>193</v>
      </c>
    </row>
    <row r="203" spans="1:16" ht="12.75">
      <c r="A203" s="62" t="str">
        <f t="shared" si="3"/>
        <v>Brazil_Health expenditure, public (% of GDP)</v>
      </c>
      <c r="B203" t="s">
        <v>452</v>
      </c>
      <c r="C203" t="s">
        <v>239</v>
      </c>
      <c r="D203" t="s">
        <v>426</v>
      </c>
      <c r="E203" t="s">
        <v>427</v>
      </c>
      <c r="F203" t="s">
        <v>193</v>
      </c>
      <c r="G203" t="s">
        <v>193</v>
      </c>
      <c r="H203" t="s">
        <v>193</v>
      </c>
      <c r="I203" t="s">
        <v>193</v>
      </c>
      <c r="J203">
        <v>3.116</v>
      </c>
      <c r="K203">
        <v>3.3462</v>
      </c>
      <c r="L203">
        <v>4.067</v>
      </c>
      <c r="M203">
        <v>4.5501</v>
      </c>
      <c r="N203">
        <v>4.7608</v>
      </c>
      <c r="O203" t="s">
        <v>193</v>
      </c>
      <c r="P203" t="s">
        <v>193</v>
      </c>
    </row>
    <row r="204" spans="1:16" ht="12.75">
      <c r="A204" s="62" t="str">
        <f t="shared" si="3"/>
        <v>Brazil_Health expenditure, total (% of GDP)</v>
      </c>
      <c r="B204" t="s">
        <v>452</v>
      </c>
      <c r="C204" t="s">
        <v>239</v>
      </c>
      <c r="D204" t="s">
        <v>428</v>
      </c>
      <c r="E204" t="s">
        <v>429</v>
      </c>
      <c r="F204" t="s">
        <v>193</v>
      </c>
      <c r="G204" t="s">
        <v>193</v>
      </c>
      <c r="H204" t="s">
        <v>193</v>
      </c>
      <c r="I204" t="s">
        <v>193</v>
      </c>
      <c r="J204">
        <v>7.6</v>
      </c>
      <c r="K204">
        <v>7.8</v>
      </c>
      <c r="L204">
        <v>8.3</v>
      </c>
      <c r="M204">
        <v>8.7</v>
      </c>
      <c r="N204">
        <v>8.8</v>
      </c>
      <c r="O204" t="s">
        <v>193</v>
      </c>
      <c r="P204" t="s">
        <v>193</v>
      </c>
    </row>
    <row r="205" spans="1:16" ht="12.75">
      <c r="A205" s="62" t="str">
        <f t="shared" si="3"/>
        <v>Brazil_GDP (current LCU)</v>
      </c>
      <c r="B205" t="s">
        <v>452</v>
      </c>
      <c r="C205" t="s">
        <v>239</v>
      </c>
      <c r="D205" t="s">
        <v>430</v>
      </c>
      <c r="E205" t="s">
        <v>431</v>
      </c>
      <c r="F205">
        <v>843965005824</v>
      </c>
      <c r="G205">
        <v>939147001856</v>
      </c>
      <c r="H205">
        <v>979275022336</v>
      </c>
      <c r="I205">
        <v>1064998993920</v>
      </c>
      <c r="J205">
        <v>1179481014272</v>
      </c>
      <c r="K205">
        <v>1302137012224</v>
      </c>
      <c r="L205">
        <v>1477821988864</v>
      </c>
      <c r="M205">
        <v>1699948003328</v>
      </c>
      <c r="N205">
        <v>1941497970688</v>
      </c>
      <c r="O205">
        <v>2147943972864</v>
      </c>
      <c r="P205">
        <v>2322817875968</v>
      </c>
    </row>
    <row r="206" spans="1:16" ht="12.75">
      <c r="A206" s="62" t="str">
        <f t="shared" si="3"/>
        <v>Brazil_GDP (current US$)</v>
      </c>
      <c r="B206" t="s">
        <v>452</v>
      </c>
      <c r="C206" t="s">
        <v>239</v>
      </c>
      <c r="D206" t="s">
        <v>432</v>
      </c>
      <c r="E206" t="s">
        <v>433</v>
      </c>
      <c r="F206">
        <v>839682621440</v>
      </c>
      <c r="G206">
        <v>871200325632</v>
      </c>
      <c r="H206">
        <v>843826528256</v>
      </c>
      <c r="I206">
        <v>586862624768</v>
      </c>
      <c r="J206">
        <v>644475125760</v>
      </c>
      <c r="K206">
        <v>552289370112</v>
      </c>
      <c r="L206">
        <v>505904168960</v>
      </c>
      <c r="M206">
        <v>552469266432</v>
      </c>
      <c r="N206">
        <v>663760011264</v>
      </c>
      <c r="O206">
        <v>882474942464</v>
      </c>
      <c r="P206">
        <v>1067962269696</v>
      </c>
    </row>
    <row r="207" spans="1:16" ht="12.75">
      <c r="A207" s="62" t="str">
        <f t="shared" si="3"/>
        <v>Brazil_GDP per capita, PPP (current international $)</v>
      </c>
      <c r="B207" t="s">
        <v>452</v>
      </c>
      <c r="C207" t="s">
        <v>239</v>
      </c>
      <c r="D207" t="s">
        <v>434</v>
      </c>
      <c r="E207" t="s">
        <v>435</v>
      </c>
      <c r="F207">
        <v>6588.99988395117</v>
      </c>
      <c r="G207">
        <v>6821.80550116518</v>
      </c>
      <c r="H207">
        <v>6797.42109666799</v>
      </c>
      <c r="I207">
        <v>6811.29145472055</v>
      </c>
      <c r="J207">
        <v>7154.27250321897</v>
      </c>
      <c r="K207">
        <v>7316.75250447831</v>
      </c>
      <c r="L207">
        <v>7535.13328561231</v>
      </c>
      <c r="M207">
        <v>7669.09531971961</v>
      </c>
      <c r="N207">
        <v>8206.38367748721</v>
      </c>
      <c r="O207">
        <v>8586.50956039716</v>
      </c>
      <c r="P207">
        <v>9053.97163308979</v>
      </c>
    </row>
    <row r="208" spans="1:16" ht="12.75">
      <c r="A208" s="62" t="str">
        <f t="shared" si="3"/>
        <v>Brazil_GDP per capita, PPP (constant 2000 international $)</v>
      </c>
      <c r="B208" t="s">
        <v>452</v>
      </c>
      <c r="C208" t="s">
        <v>239</v>
      </c>
      <c r="D208" t="s">
        <v>436</v>
      </c>
      <c r="E208" t="s">
        <v>437</v>
      </c>
      <c r="F208">
        <v>7021.14747608255</v>
      </c>
      <c r="G208">
        <v>7149.79511309835</v>
      </c>
      <c r="H208">
        <v>7045.95505118215</v>
      </c>
      <c r="I208">
        <v>6959.76775454767</v>
      </c>
      <c r="J208">
        <v>7154.27250321897</v>
      </c>
      <c r="K208">
        <v>7144.65157191548</v>
      </c>
      <c r="L208">
        <v>7231.3433475819</v>
      </c>
      <c r="M208">
        <v>7213.10102123974</v>
      </c>
      <c r="N208">
        <v>7521.0900589369</v>
      </c>
      <c r="O208">
        <v>7639.04455555982</v>
      </c>
      <c r="P208">
        <v>7825.77558083517</v>
      </c>
    </row>
    <row r="209" spans="1:16" ht="12.75">
      <c r="A209" s="62" t="str">
        <f t="shared" si="3"/>
        <v>Brazil_GINI index</v>
      </c>
      <c r="B209" t="s">
        <v>452</v>
      </c>
      <c r="C209" t="s">
        <v>239</v>
      </c>
      <c r="D209" t="s">
        <v>438</v>
      </c>
      <c r="E209" t="s">
        <v>439</v>
      </c>
      <c r="F209">
        <v>59.98</v>
      </c>
      <c r="G209" t="s">
        <v>193</v>
      </c>
      <c r="H209" t="s">
        <v>193</v>
      </c>
      <c r="I209">
        <v>59.19</v>
      </c>
      <c r="J209" t="s">
        <v>193</v>
      </c>
      <c r="K209">
        <v>59.25</v>
      </c>
      <c r="L209" t="s">
        <v>193</v>
      </c>
      <c r="M209">
        <v>58.12</v>
      </c>
      <c r="N209">
        <v>56.99</v>
      </c>
      <c r="O209" t="s">
        <v>193</v>
      </c>
      <c r="P209" t="s">
        <v>193</v>
      </c>
    </row>
    <row r="210" spans="1:16" ht="12.75">
      <c r="A210" s="62" t="str">
        <f t="shared" si="3"/>
        <v>Bulgaria_Poverty headcount ratio at national poverty line (% of population)</v>
      </c>
      <c r="B210" t="s">
        <v>453</v>
      </c>
      <c r="C210" t="s">
        <v>208</v>
      </c>
      <c r="D210" t="s">
        <v>408</v>
      </c>
      <c r="E210" t="s">
        <v>409</v>
      </c>
      <c r="F210" t="s">
        <v>193</v>
      </c>
      <c r="G210">
        <v>36</v>
      </c>
      <c r="H210" t="s">
        <v>193</v>
      </c>
      <c r="I210" t="s">
        <v>193</v>
      </c>
      <c r="J210" t="s">
        <v>193</v>
      </c>
      <c r="K210">
        <v>12.8</v>
      </c>
      <c r="L210" t="s">
        <v>193</v>
      </c>
      <c r="M210" t="s">
        <v>193</v>
      </c>
      <c r="N210" t="s">
        <v>193</v>
      </c>
      <c r="O210" t="s">
        <v>193</v>
      </c>
      <c r="P210" t="s">
        <v>193</v>
      </c>
    </row>
    <row r="211" spans="1:16" ht="12.75">
      <c r="A211" s="62" t="str">
        <f t="shared" si="3"/>
        <v>Bulgaria_Poverty headcount ratio at $2 a day (PPP) (% of population)</v>
      </c>
      <c r="B211" t="s">
        <v>453</v>
      </c>
      <c r="C211" t="s">
        <v>208</v>
      </c>
      <c r="D211" t="s">
        <v>410</v>
      </c>
      <c r="E211" t="s">
        <v>411</v>
      </c>
      <c r="F211">
        <v>11.45</v>
      </c>
      <c r="G211">
        <v>13.28</v>
      </c>
      <c r="H211" t="s">
        <v>193</v>
      </c>
      <c r="I211" t="s">
        <v>193</v>
      </c>
      <c r="J211" t="s">
        <v>193</v>
      </c>
      <c r="K211">
        <v>12.96</v>
      </c>
      <c r="L211" t="s">
        <v>193</v>
      </c>
      <c r="M211">
        <v>6.109</v>
      </c>
      <c r="N211" t="s">
        <v>193</v>
      </c>
      <c r="O211" t="s">
        <v>193</v>
      </c>
      <c r="P211" t="s">
        <v>193</v>
      </c>
    </row>
    <row r="212" spans="1:16" ht="12.75">
      <c r="A212" s="62" t="str">
        <f t="shared" si="3"/>
        <v>Bulgaria_Poverty headcount ratio at $1 a day (PPP) (% of population)</v>
      </c>
      <c r="B212" t="s">
        <v>453</v>
      </c>
      <c r="C212" t="s">
        <v>208</v>
      </c>
      <c r="D212" t="s">
        <v>412</v>
      </c>
      <c r="E212" t="s">
        <v>413</v>
      </c>
      <c r="F212">
        <v>2</v>
      </c>
      <c r="G212">
        <v>2</v>
      </c>
      <c r="H212" t="s">
        <v>193</v>
      </c>
      <c r="I212" t="s">
        <v>193</v>
      </c>
      <c r="J212" t="s">
        <v>193</v>
      </c>
      <c r="K212">
        <v>3.02</v>
      </c>
      <c r="L212" t="s">
        <v>193</v>
      </c>
      <c r="M212">
        <v>2</v>
      </c>
      <c r="N212" t="s">
        <v>193</v>
      </c>
      <c r="O212" t="s">
        <v>193</v>
      </c>
      <c r="P212" t="s">
        <v>193</v>
      </c>
    </row>
    <row r="213" spans="1:16" ht="12.75">
      <c r="A213" s="62" t="str">
        <f t="shared" si="3"/>
        <v>Bulgaria_Poverty gap at $1 a day (PPP) (%)</v>
      </c>
      <c r="B213" t="s">
        <v>453</v>
      </c>
      <c r="C213" t="s">
        <v>208</v>
      </c>
      <c r="D213" t="s">
        <v>414</v>
      </c>
      <c r="E213" t="s">
        <v>415</v>
      </c>
      <c r="F213">
        <v>0.97</v>
      </c>
      <c r="G213">
        <v>0.5</v>
      </c>
      <c r="H213" t="s">
        <v>193</v>
      </c>
      <c r="I213" t="s">
        <v>193</v>
      </c>
      <c r="J213" t="s">
        <v>193</v>
      </c>
      <c r="K213">
        <v>0.59</v>
      </c>
      <c r="L213" t="s">
        <v>193</v>
      </c>
      <c r="M213">
        <v>0.5</v>
      </c>
      <c r="N213" t="s">
        <v>193</v>
      </c>
      <c r="O213" t="s">
        <v>193</v>
      </c>
      <c r="P213" t="s">
        <v>193</v>
      </c>
    </row>
    <row r="214" spans="1:16" ht="12.75">
      <c r="A214" s="62" t="str">
        <f t="shared" si="3"/>
        <v>Bulgaria_Poverty gap at $2 a day (PPP) (%)</v>
      </c>
      <c r="B214" t="s">
        <v>453</v>
      </c>
      <c r="C214" t="s">
        <v>208</v>
      </c>
      <c r="D214" t="s">
        <v>416</v>
      </c>
      <c r="E214" t="s">
        <v>417</v>
      </c>
      <c r="F214">
        <v>2.47</v>
      </c>
      <c r="G214">
        <v>2.33</v>
      </c>
      <c r="H214" t="s">
        <v>193</v>
      </c>
      <c r="I214" t="s">
        <v>193</v>
      </c>
      <c r="J214" t="s">
        <v>193</v>
      </c>
      <c r="K214">
        <v>4.13</v>
      </c>
      <c r="L214" t="s">
        <v>193</v>
      </c>
      <c r="M214">
        <v>1.532</v>
      </c>
      <c r="N214" t="s">
        <v>193</v>
      </c>
      <c r="O214" t="s">
        <v>193</v>
      </c>
      <c r="P214" t="s">
        <v>193</v>
      </c>
    </row>
    <row r="215" spans="1:16" ht="12.75">
      <c r="A215" s="62" t="str">
        <f t="shared" si="3"/>
        <v>Bulgaria_Population, total</v>
      </c>
      <c r="B215" t="s">
        <v>453</v>
      </c>
      <c r="C215" t="s">
        <v>208</v>
      </c>
      <c r="D215" t="s">
        <v>418</v>
      </c>
      <c r="E215" t="s">
        <v>419</v>
      </c>
      <c r="F215">
        <v>8356000</v>
      </c>
      <c r="G215">
        <v>8312067.99999999</v>
      </c>
      <c r="H215">
        <v>8257000</v>
      </c>
      <c r="I215">
        <v>8208000</v>
      </c>
      <c r="J215">
        <v>8060000</v>
      </c>
      <c r="K215">
        <v>7910000</v>
      </c>
      <c r="L215">
        <v>7869000</v>
      </c>
      <c r="M215">
        <v>7823000</v>
      </c>
      <c r="N215">
        <v>7781000</v>
      </c>
      <c r="O215">
        <v>7740000</v>
      </c>
      <c r="P215">
        <v>7699020</v>
      </c>
    </row>
    <row r="216" spans="1:16" ht="12.75">
      <c r="A216" s="62" t="str">
        <f t="shared" si="3"/>
        <v>Bulgaria_Public spending on education, total (% of GDP)</v>
      </c>
      <c r="B216" t="s">
        <v>453</v>
      </c>
      <c r="C216" t="s">
        <v>208</v>
      </c>
      <c r="D216" t="s">
        <v>420</v>
      </c>
      <c r="E216" t="s">
        <v>421</v>
      </c>
      <c r="F216" t="s">
        <v>193</v>
      </c>
      <c r="G216" t="s">
        <v>193</v>
      </c>
      <c r="H216" t="s">
        <v>193</v>
      </c>
      <c r="I216" t="s">
        <v>193</v>
      </c>
      <c r="J216" t="s">
        <v>193</v>
      </c>
      <c r="K216">
        <v>3.52975853469785</v>
      </c>
      <c r="L216">
        <v>3.56762647384682</v>
      </c>
      <c r="M216">
        <v>4.24049809784036</v>
      </c>
      <c r="N216" t="s">
        <v>193</v>
      </c>
      <c r="O216" t="s">
        <v>193</v>
      </c>
      <c r="P216" t="s">
        <v>193</v>
      </c>
    </row>
    <row r="217" spans="1:16" ht="12.75">
      <c r="A217" s="62" t="str">
        <f t="shared" si="3"/>
        <v>Bulgaria_Public spending on education, total (% of government expenditure)</v>
      </c>
      <c r="B217" t="s">
        <v>453</v>
      </c>
      <c r="C217" t="s">
        <v>208</v>
      </c>
      <c r="D217" t="s">
        <v>422</v>
      </c>
      <c r="E217" t="s">
        <v>423</v>
      </c>
      <c r="F217" t="s">
        <v>193</v>
      </c>
      <c r="G217" t="s">
        <v>193</v>
      </c>
      <c r="H217" t="s">
        <v>193</v>
      </c>
      <c r="I217" t="s">
        <v>193</v>
      </c>
      <c r="J217" t="s">
        <v>193</v>
      </c>
      <c r="K217" t="s">
        <v>193</v>
      </c>
      <c r="L217" t="s">
        <v>193</v>
      </c>
      <c r="M217" t="s">
        <v>193</v>
      </c>
      <c r="N217" t="s">
        <v>193</v>
      </c>
      <c r="O217" t="s">
        <v>193</v>
      </c>
      <c r="P217" t="s">
        <v>193</v>
      </c>
    </row>
    <row r="218" spans="1:16" ht="12.75">
      <c r="A218" s="62" t="str">
        <f t="shared" si="3"/>
        <v>Bulgaria_Health expenditure, public (% of total health expenditure)</v>
      </c>
      <c r="B218" t="s">
        <v>453</v>
      </c>
      <c r="C218" t="s">
        <v>208</v>
      </c>
      <c r="D218" t="s">
        <v>424</v>
      </c>
      <c r="E218" t="s">
        <v>425</v>
      </c>
      <c r="F218" t="s">
        <v>193</v>
      </c>
      <c r="G218" t="s">
        <v>193</v>
      </c>
      <c r="H218" t="s">
        <v>193</v>
      </c>
      <c r="I218" t="s">
        <v>193</v>
      </c>
      <c r="J218">
        <v>59.4</v>
      </c>
      <c r="K218">
        <v>56.1</v>
      </c>
      <c r="L218">
        <v>59.7</v>
      </c>
      <c r="M218">
        <v>62.1</v>
      </c>
      <c r="N218">
        <v>57.6</v>
      </c>
      <c r="O218" t="s">
        <v>193</v>
      </c>
      <c r="P218" t="s">
        <v>193</v>
      </c>
    </row>
    <row r="219" spans="1:16" ht="12.75">
      <c r="A219" s="62" t="str">
        <f t="shared" si="3"/>
        <v>Bulgaria_Health expenditure, public (% of GDP)</v>
      </c>
      <c r="B219" t="s">
        <v>453</v>
      </c>
      <c r="C219" t="s">
        <v>208</v>
      </c>
      <c r="D219" t="s">
        <v>426</v>
      </c>
      <c r="E219" t="s">
        <v>427</v>
      </c>
      <c r="F219" t="s">
        <v>193</v>
      </c>
      <c r="G219" t="s">
        <v>193</v>
      </c>
      <c r="H219" t="s">
        <v>193</v>
      </c>
      <c r="I219" t="s">
        <v>193</v>
      </c>
      <c r="J219">
        <v>3.6828</v>
      </c>
      <c r="K219">
        <v>4.0392</v>
      </c>
      <c r="L219">
        <v>4.4775</v>
      </c>
      <c r="M219">
        <v>4.9059</v>
      </c>
      <c r="N219">
        <v>4.608</v>
      </c>
      <c r="O219" t="s">
        <v>193</v>
      </c>
      <c r="P219" t="s">
        <v>193</v>
      </c>
    </row>
    <row r="220" spans="1:16" ht="12.75">
      <c r="A220" s="62" t="str">
        <f t="shared" si="3"/>
        <v>Bulgaria_Health expenditure, total (% of GDP)</v>
      </c>
      <c r="B220" t="s">
        <v>453</v>
      </c>
      <c r="C220" t="s">
        <v>208</v>
      </c>
      <c r="D220" t="s">
        <v>428</v>
      </c>
      <c r="E220" t="s">
        <v>429</v>
      </c>
      <c r="F220" t="s">
        <v>193</v>
      </c>
      <c r="G220" t="s">
        <v>193</v>
      </c>
      <c r="H220" t="s">
        <v>193</v>
      </c>
      <c r="I220" t="s">
        <v>193</v>
      </c>
      <c r="J220">
        <v>6.2</v>
      </c>
      <c r="K220">
        <v>7.2</v>
      </c>
      <c r="L220">
        <v>7.5</v>
      </c>
      <c r="M220">
        <v>7.9</v>
      </c>
      <c r="N220">
        <v>8</v>
      </c>
      <c r="O220" t="s">
        <v>193</v>
      </c>
      <c r="P220" t="s">
        <v>193</v>
      </c>
    </row>
    <row r="221" spans="1:16" ht="12.75">
      <c r="A221" s="62" t="str">
        <f t="shared" si="3"/>
        <v>Bulgaria_GDP (current LCU)</v>
      </c>
      <c r="B221" t="s">
        <v>453</v>
      </c>
      <c r="C221" t="s">
        <v>208</v>
      </c>
      <c r="D221" t="s">
        <v>430</v>
      </c>
      <c r="E221" t="s">
        <v>431</v>
      </c>
      <c r="F221">
        <v>1761171968</v>
      </c>
      <c r="G221">
        <v>17432553472</v>
      </c>
      <c r="H221">
        <v>22421141504</v>
      </c>
      <c r="I221">
        <v>23790440448</v>
      </c>
      <c r="J221">
        <v>26752833536</v>
      </c>
      <c r="K221">
        <v>29709209600</v>
      </c>
      <c r="L221">
        <v>32401612800</v>
      </c>
      <c r="M221">
        <v>34627543040</v>
      </c>
      <c r="N221">
        <v>38822637568</v>
      </c>
      <c r="O221">
        <v>42797408256</v>
      </c>
      <c r="P221">
        <v>49090605056</v>
      </c>
    </row>
    <row r="222" spans="1:16" ht="12.75">
      <c r="A222" s="62" t="str">
        <f t="shared" si="3"/>
        <v>Bulgaria_GDP (current US$)</v>
      </c>
      <c r="B222" t="s">
        <v>453</v>
      </c>
      <c r="C222" t="s">
        <v>208</v>
      </c>
      <c r="D222" t="s">
        <v>432</v>
      </c>
      <c r="E222" t="s">
        <v>433</v>
      </c>
      <c r="F222">
        <v>9900620800</v>
      </c>
      <c r="G222">
        <v>10364983296</v>
      </c>
      <c r="H222">
        <v>12736679936</v>
      </c>
      <c r="I222">
        <v>12945956864</v>
      </c>
      <c r="J222">
        <v>12599391232</v>
      </c>
      <c r="K222">
        <v>13598665728</v>
      </c>
      <c r="L222">
        <v>15600423936</v>
      </c>
      <c r="M222">
        <v>19985645568</v>
      </c>
      <c r="N222">
        <v>24647544832</v>
      </c>
      <c r="O222">
        <v>27187673088</v>
      </c>
      <c r="P222">
        <v>31483000832</v>
      </c>
    </row>
    <row r="223" spans="1:16" ht="12.75">
      <c r="A223" s="62" t="str">
        <f t="shared" si="3"/>
        <v>Bulgaria_GDP per capita, PPP (current international $)</v>
      </c>
      <c r="B223" t="s">
        <v>453</v>
      </c>
      <c r="C223" t="s">
        <v>208</v>
      </c>
      <c r="D223" t="s">
        <v>434</v>
      </c>
      <c r="E223" t="s">
        <v>435</v>
      </c>
      <c r="F223">
        <v>5187.66315598024</v>
      </c>
      <c r="G223">
        <v>5005.26903136402</v>
      </c>
      <c r="H223">
        <v>5298.41733155228</v>
      </c>
      <c r="I223">
        <v>5531.4260628835</v>
      </c>
      <c r="J223">
        <v>6066.5995903488</v>
      </c>
      <c r="K223">
        <v>6590.09896269215</v>
      </c>
      <c r="L223">
        <v>7070.64434056037</v>
      </c>
      <c r="M223">
        <v>7620.33994467389</v>
      </c>
      <c r="N223">
        <v>8384.71053839353</v>
      </c>
      <c r="O223">
        <v>9225.71436312797</v>
      </c>
      <c r="P223">
        <v>10127.7503070804</v>
      </c>
    </row>
    <row r="224" spans="1:16" ht="12.75">
      <c r="A224" s="62" t="str">
        <f t="shared" si="3"/>
        <v>Bulgaria_GDP per capita, PPP (constant 2000 international $)</v>
      </c>
      <c r="B224" t="s">
        <v>453</v>
      </c>
      <c r="C224" t="s">
        <v>208</v>
      </c>
      <c r="D224" t="s">
        <v>436</v>
      </c>
      <c r="E224" t="s">
        <v>437</v>
      </c>
      <c r="F224">
        <v>5527.90236999298</v>
      </c>
      <c r="G224">
        <v>5245.92031450861</v>
      </c>
      <c r="H224">
        <v>5492.14324515245</v>
      </c>
      <c r="I224">
        <v>5652.00314874803</v>
      </c>
      <c r="J224">
        <v>6066.5995903488</v>
      </c>
      <c r="K224">
        <v>6435.0900053075</v>
      </c>
      <c r="L224">
        <v>6785.58095486614</v>
      </c>
      <c r="M224">
        <v>7167.24457652598</v>
      </c>
      <c r="N224">
        <v>7684.52531050616</v>
      </c>
      <c r="O224">
        <v>8207.71730131783</v>
      </c>
      <c r="P224">
        <v>8753.89323645342</v>
      </c>
    </row>
    <row r="225" spans="1:16" ht="12.75">
      <c r="A225" s="62" t="str">
        <f t="shared" si="3"/>
        <v>Bulgaria_GINI index</v>
      </c>
      <c r="B225" t="s">
        <v>453</v>
      </c>
      <c r="C225" t="s">
        <v>208</v>
      </c>
      <c r="D225" t="s">
        <v>438</v>
      </c>
      <c r="E225" t="s">
        <v>439</v>
      </c>
      <c r="F225">
        <v>35.04</v>
      </c>
      <c r="G225">
        <v>26.38</v>
      </c>
      <c r="H225" t="s">
        <v>193</v>
      </c>
      <c r="I225" t="s">
        <v>193</v>
      </c>
      <c r="J225" t="s">
        <v>193</v>
      </c>
      <c r="K225">
        <v>34.34</v>
      </c>
      <c r="L225" t="s">
        <v>193</v>
      </c>
      <c r="M225">
        <v>29.21</v>
      </c>
      <c r="N225" t="s">
        <v>193</v>
      </c>
      <c r="O225" t="s">
        <v>193</v>
      </c>
      <c r="P225" t="s">
        <v>193</v>
      </c>
    </row>
    <row r="226" spans="1:16" ht="12.75">
      <c r="A226" s="62" t="str">
        <f t="shared" si="3"/>
        <v>Burkina Faso_Poverty headcount ratio at national poverty line (% of population)</v>
      </c>
      <c r="B226" t="s">
        <v>454</v>
      </c>
      <c r="C226" t="s">
        <v>136</v>
      </c>
      <c r="D226" t="s">
        <v>408</v>
      </c>
      <c r="E226" t="s">
        <v>409</v>
      </c>
      <c r="F226" t="s">
        <v>193</v>
      </c>
      <c r="G226" t="s">
        <v>193</v>
      </c>
      <c r="H226">
        <v>54.6</v>
      </c>
      <c r="I226" t="s">
        <v>193</v>
      </c>
      <c r="J226" t="s">
        <v>193</v>
      </c>
      <c r="K226" t="s">
        <v>193</v>
      </c>
      <c r="L226" t="s">
        <v>193</v>
      </c>
      <c r="M226">
        <v>46.4</v>
      </c>
      <c r="N226" t="s">
        <v>193</v>
      </c>
      <c r="O226" t="s">
        <v>193</v>
      </c>
      <c r="P226" t="s">
        <v>193</v>
      </c>
    </row>
    <row r="227" spans="1:16" ht="12.75">
      <c r="A227" s="62" t="str">
        <f t="shared" si="3"/>
        <v>Burkina Faso_Poverty headcount ratio at $2 a day (PPP) (% of population)</v>
      </c>
      <c r="B227" t="s">
        <v>454</v>
      </c>
      <c r="C227" t="s">
        <v>136</v>
      </c>
      <c r="D227" t="s">
        <v>410</v>
      </c>
      <c r="E227" t="s">
        <v>411</v>
      </c>
      <c r="F227" t="s">
        <v>193</v>
      </c>
      <c r="G227" t="s">
        <v>193</v>
      </c>
      <c r="H227">
        <v>81.02</v>
      </c>
      <c r="I227" t="s">
        <v>193</v>
      </c>
      <c r="J227" t="s">
        <v>193</v>
      </c>
      <c r="K227" t="s">
        <v>193</v>
      </c>
      <c r="L227" t="s">
        <v>193</v>
      </c>
      <c r="M227">
        <v>71.77</v>
      </c>
      <c r="N227" t="s">
        <v>193</v>
      </c>
      <c r="O227" t="s">
        <v>193</v>
      </c>
      <c r="P227" t="s">
        <v>193</v>
      </c>
    </row>
    <row r="228" spans="1:16" ht="12.75">
      <c r="A228" s="62" t="str">
        <f t="shared" si="3"/>
        <v>Burkina Faso_Poverty headcount ratio at $1 a day (PPP) (% of population)</v>
      </c>
      <c r="B228" t="s">
        <v>454</v>
      </c>
      <c r="C228" t="s">
        <v>136</v>
      </c>
      <c r="D228" t="s">
        <v>412</v>
      </c>
      <c r="E228" t="s">
        <v>413</v>
      </c>
      <c r="F228" t="s">
        <v>193</v>
      </c>
      <c r="G228" t="s">
        <v>193</v>
      </c>
      <c r="H228">
        <v>44.85</v>
      </c>
      <c r="I228" t="s">
        <v>193</v>
      </c>
      <c r="J228" t="s">
        <v>193</v>
      </c>
      <c r="K228" t="s">
        <v>193</v>
      </c>
      <c r="L228" t="s">
        <v>193</v>
      </c>
      <c r="M228">
        <v>27.19</v>
      </c>
      <c r="N228" t="s">
        <v>193</v>
      </c>
      <c r="O228" t="s">
        <v>193</v>
      </c>
      <c r="P228" t="s">
        <v>193</v>
      </c>
    </row>
    <row r="229" spans="1:16" ht="12.75">
      <c r="A229" s="62" t="str">
        <f t="shared" si="3"/>
        <v>Burkina Faso_Poverty gap at $1 a day (PPP) (%)</v>
      </c>
      <c r="B229" t="s">
        <v>454</v>
      </c>
      <c r="C229" t="s">
        <v>136</v>
      </c>
      <c r="D229" t="s">
        <v>414</v>
      </c>
      <c r="E229" t="s">
        <v>415</v>
      </c>
      <c r="F229" t="s">
        <v>193</v>
      </c>
      <c r="G229" t="s">
        <v>193</v>
      </c>
      <c r="H229">
        <v>14.42</v>
      </c>
      <c r="I229" t="s">
        <v>193</v>
      </c>
      <c r="J229" t="s">
        <v>193</v>
      </c>
      <c r="K229" t="s">
        <v>193</v>
      </c>
      <c r="L229" t="s">
        <v>193</v>
      </c>
      <c r="M229">
        <v>7.26</v>
      </c>
      <c r="N229" t="s">
        <v>193</v>
      </c>
      <c r="O229" t="s">
        <v>193</v>
      </c>
      <c r="P229" t="s">
        <v>193</v>
      </c>
    </row>
    <row r="230" spans="1:16" ht="12.75">
      <c r="A230" s="62" t="str">
        <f t="shared" si="3"/>
        <v>Burkina Faso_Poverty gap at $2 a day (PPP) (%)</v>
      </c>
      <c r="B230" t="s">
        <v>454</v>
      </c>
      <c r="C230" t="s">
        <v>136</v>
      </c>
      <c r="D230" t="s">
        <v>416</v>
      </c>
      <c r="E230" t="s">
        <v>417</v>
      </c>
      <c r="F230" t="s">
        <v>193</v>
      </c>
      <c r="G230" t="s">
        <v>193</v>
      </c>
      <c r="H230">
        <v>40.58</v>
      </c>
      <c r="I230" t="s">
        <v>193</v>
      </c>
      <c r="J230" t="s">
        <v>193</v>
      </c>
      <c r="K230" t="s">
        <v>193</v>
      </c>
      <c r="L230" t="s">
        <v>193</v>
      </c>
      <c r="M230">
        <v>30.35</v>
      </c>
      <c r="N230" t="s">
        <v>193</v>
      </c>
      <c r="O230" t="s">
        <v>193</v>
      </c>
      <c r="P230" t="s">
        <v>193</v>
      </c>
    </row>
    <row r="231" spans="1:16" ht="12.75">
      <c r="A231" s="62" t="str">
        <f t="shared" si="3"/>
        <v>Burkina Faso_Population, total</v>
      </c>
      <c r="B231" t="s">
        <v>454</v>
      </c>
      <c r="C231" t="s">
        <v>136</v>
      </c>
      <c r="D231" t="s">
        <v>418</v>
      </c>
      <c r="E231" t="s">
        <v>419</v>
      </c>
      <c r="F231">
        <v>10102785</v>
      </c>
      <c r="G231">
        <v>10377508</v>
      </c>
      <c r="H231">
        <v>10662162</v>
      </c>
      <c r="I231">
        <v>10964997</v>
      </c>
      <c r="J231">
        <v>11291615</v>
      </c>
      <c r="K231">
        <v>11644879</v>
      </c>
      <c r="L231">
        <v>12022321</v>
      </c>
      <c r="M231">
        <v>12417649</v>
      </c>
      <c r="N231">
        <v>12821686</v>
      </c>
      <c r="O231">
        <v>13227835</v>
      </c>
      <c r="P231">
        <v>13586485.1328978</v>
      </c>
    </row>
    <row r="232" spans="1:16" ht="12.75">
      <c r="A232" s="62" t="str">
        <f t="shared" si="3"/>
        <v>Burkina Faso_Public spending on education, total (% of GDP)</v>
      </c>
      <c r="B232" t="s">
        <v>454</v>
      </c>
      <c r="C232" t="s">
        <v>136</v>
      </c>
      <c r="D232" t="s">
        <v>420</v>
      </c>
      <c r="E232" t="s">
        <v>421</v>
      </c>
      <c r="F232" t="s">
        <v>193</v>
      </c>
      <c r="G232" t="s">
        <v>193</v>
      </c>
      <c r="H232" t="s">
        <v>193</v>
      </c>
      <c r="I232" t="s">
        <v>193</v>
      </c>
      <c r="J232" t="s">
        <v>193</v>
      </c>
      <c r="K232" t="s">
        <v>193</v>
      </c>
      <c r="L232" t="s">
        <v>193</v>
      </c>
      <c r="M232" t="s">
        <v>193</v>
      </c>
      <c r="N232" t="s">
        <v>193</v>
      </c>
      <c r="O232">
        <v>4.68246750501788</v>
      </c>
      <c r="P232" t="s">
        <v>193</v>
      </c>
    </row>
    <row r="233" spans="1:16" ht="12.75">
      <c r="A233" s="62" t="str">
        <f t="shared" si="3"/>
        <v>Burkina Faso_Public spending on education, total (% of government expenditure)</v>
      </c>
      <c r="B233" t="s">
        <v>454</v>
      </c>
      <c r="C233" t="s">
        <v>136</v>
      </c>
      <c r="D233" t="s">
        <v>422</v>
      </c>
      <c r="E233" t="s">
        <v>423</v>
      </c>
      <c r="F233" t="s">
        <v>193</v>
      </c>
      <c r="G233" t="s">
        <v>193</v>
      </c>
      <c r="H233" t="s">
        <v>193</v>
      </c>
      <c r="I233" t="s">
        <v>193</v>
      </c>
      <c r="J233" t="s">
        <v>193</v>
      </c>
      <c r="K233" t="s">
        <v>193</v>
      </c>
      <c r="L233" t="s">
        <v>193</v>
      </c>
      <c r="M233" t="s">
        <v>193</v>
      </c>
      <c r="N233" t="s">
        <v>193</v>
      </c>
      <c r="O233">
        <v>16.6396422288458</v>
      </c>
      <c r="P233" t="s">
        <v>193</v>
      </c>
    </row>
    <row r="234" spans="1:16" ht="12.75">
      <c r="A234" s="62" t="str">
        <f t="shared" si="3"/>
        <v>Burkina Faso_Health expenditure, public (% of total health expenditure)</v>
      </c>
      <c r="B234" t="s">
        <v>454</v>
      </c>
      <c r="C234" t="s">
        <v>136</v>
      </c>
      <c r="D234" t="s">
        <v>424</v>
      </c>
      <c r="E234" t="s">
        <v>425</v>
      </c>
      <c r="F234" t="s">
        <v>193</v>
      </c>
      <c r="G234" t="s">
        <v>193</v>
      </c>
      <c r="H234" t="s">
        <v>193</v>
      </c>
      <c r="I234" t="s">
        <v>193</v>
      </c>
      <c r="J234">
        <v>43.5</v>
      </c>
      <c r="K234">
        <v>40.6</v>
      </c>
      <c r="L234">
        <v>45.4</v>
      </c>
      <c r="M234">
        <v>48.1</v>
      </c>
      <c r="N234">
        <v>54.8</v>
      </c>
      <c r="O234" t="s">
        <v>193</v>
      </c>
      <c r="P234" t="s">
        <v>193</v>
      </c>
    </row>
    <row r="235" spans="1:16" ht="12.75">
      <c r="A235" s="62" t="str">
        <f t="shared" si="3"/>
        <v>Burkina Faso_Health expenditure, public (% of GDP)</v>
      </c>
      <c r="B235" t="s">
        <v>454</v>
      </c>
      <c r="C235" t="s">
        <v>136</v>
      </c>
      <c r="D235" t="s">
        <v>426</v>
      </c>
      <c r="E235" t="s">
        <v>427</v>
      </c>
      <c r="F235" t="s">
        <v>193</v>
      </c>
      <c r="G235" t="s">
        <v>193</v>
      </c>
      <c r="H235" t="s">
        <v>193</v>
      </c>
      <c r="I235" t="s">
        <v>193</v>
      </c>
      <c r="J235">
        <v>2.1315</v>
      </c>
      <c r="K235">
        <v>1.9082</v>
      </c>
      <c r="L235">
        <v>2.3154</v>
      </c>
      <c r="M235">
        <v>2.5974</v>
      </c>
      <c r="N235">
        <v>3.3428</v>
      </c>
      <c r="O235" t="s">
        <v>193</v>
      </c>
      <c r="P235" t="s">
        <v>193</v>
      </c>
    </row>
    <row r="236" spans="1:16" ht="12.75">
      <c r="A236" s="62" t="str">
        <f t="shared" si="3"/>
        <v>Burkina Faso_Health expenditure, total (% of GDP)</v>
      </c>
      <c r="B236" t="s">
        <v>454</v>
      </c>
      <c r="C236" t="s">
        <v>136</v>
      </c>
      <c r="D236" t="s">
        <v>428</v>
      </c>
      <c r="E236" t="s">
        <v>429</v>
      </c>
      <c r="F236" t="s">
        <v>193</v>
      </c>
      <c r="G236" t="s">
        <v>193</v>
      </c>
      <c r="H236" t="s">
        <v>193</v>
      </c>
      <c r="I236" t="s">
        <v>193</v>
      </c>
      <c r="J236">
        <v>4.9</v>
      </c>
      <c r="K236">
        <v>4.7</v>
      </c>
      <c r="L236">
        <v>5.1</v>
      </c>
      <c r="M236">
        <v>5.4</v>
      </c>
      <c r="N236">
        <v>6.1</v>
      </c>
      <c r="O236" t="s">
        <v>193</v>
      </c>
      <c r="P236" t="s">
        <v>193</v>
      </c>
    </row>
    <row r="237" spans="1:16" ht="12.75">
      <c r="A237" s="62" t="str">
        <f t="shared" si="3"/>
        <v>Burkina Faso_GDP (current LCU)</v>
      </c>
      <c r="B237" t="s">
        <v>454</v>
      </c>
      <c r="C237" t="s">
        <v>136</v>
      </c>
      <c r="D237" t="s">
        <v>430</v>
      </c>
      <c r="E237" t="s">
        <v>431</v>
      </c>
      <c r="F237">
        <v>1418726998016</v>
      </c>
      <c r="G237">
        <v>1518940979200</v>
      </c>
      <c r="H237">
        <v>1648588226560</v>
      </c>
      <c r="I237">
        <v>1730946007040</v>
      </c>
      <c r="J237">
        <v>1851646803968</v>
      </c>
      <c r="K237">
        <v>2062699986944</v>
      </c>
      <c r="L237">
        <v>2232700108800</v>
      </c>
      <c r="M237">
        <v>2430500077568</v>
      </c>
      <c r="N237">
        <v>2714809925632</v>
      </c>
      <c r="O237">
        <v>3005500096512</v>
      </c>
      <c r="P237">
        <v>3244699942912</v>
      </c>
    </row>
    <row r="238" spans="1:16" ht="12.75">
      <c r="A238" s="62" t="str">
        <f t="shared" si="3"/>
        <v>Burkina Faso_GDP (current US$)</v>
      </c>
      <c r="B238" t="s">
        <v>454</v>
      </c>
      <c r="C238" t="s">
        <v>136</v>
      </c>
      <c r="D238" t="s">
        <v>432</v>
      </c>
      <c r="E238" t="s">
        <v>433</v>
      </c>
      <c r="F238">
        <v>2773389312</v>
      </c>
      <c r="G238">
        <v>2602396928</v>
      </c>
      <c r="H238">
        <v>2794454272</v>
      </c>
      <c r="I238">
        <v>2811346432</v>
      </c>
      <c r="J238">
        <v>2600700672</v>
      </c>
      <c r="K238">
        <v>2813898240</v>
      </c>
      <c r="L238">
        <v>3203345920</v>
      </c>
      <c r="M238">
        <v>4181865216</v>
      </c>
      <c r="N238">
        <v>5138913792</v>
      </c>
      <c r="O238">
        <v>5697975808</v>
      </c>
      <c r="P238">
        <v>6205320192</v>
      </c>
    </row>
    <row r="239" spans="1:16" ht="12.75">
      <c r="A239" s="62" t="str">
        <f t="shared" si="3"/>
        <v>Burkina Faso_GDP per capita, PPP (current international $)</v>
      </c>
      <c r="B239" t="s">
        <v>454</v>
      </c>
      <c r="C239" t="s">
        <v>136</v>
      </c>
      <c r="D239" t="s">
        <v>434</v>
      </c>
      <c r="E239" t="s">
        <v>435</v>
      </c>
      <c r="F239">
        <v>898.081749228583</v>
      </c>
      <c r="G239">
        <v>935.134296608061</v>
      </c>
      <c r="H239">
        <v>929.48364269996</v>
      </c>
      <c r="I239">
        <v>978.302880987841</v>
      </c>
      <c r="J239">
        <v>986.244915005637</v>
      </c>
      <c r="K239">
        <v>1037.14414578244</v>
      </c>
      <c r="L239">
        <v>1067.13882121474</v>
      </c>
      <c r="M239">
        <v>1122.71529670111</v>
      </c>
      <c r="N239">
        <v>1167.75581040187</v>
      </c>
      <c r="O239">
        <v>1249.06646691243</v>
      </c>
      <c r="P239">
        <v>1322.29916657602</v>
      </c>
    </row>
    <row r="240" spans="1:16" ht="12.75">
      <c r="A240" s="62" t="str">
        <f t="shared" si="3"/>
        <v>Burkina Faso_GDP per capita, PPP (constant 2000 international $)</v>
      </c>
      <c r="B240" t="s">
        <v>454</v>
      </c>
      <c r="C240" t="s">
        <v>136</v>
      </c>
      <c r="D240" t="s">
        <v>436</v>
      </c>
      <c r="E240" t="s">
        <v>437</v>
      </c>
      <c r="F240">
        <v>956.983535888434</v>
      </c>
      <c r="G240">
        <v>980.095170235651</v>
      </c>
      <c r="H240">
        <v>963.46833220076</v>
      </c>
      <c r="I240">
        <v>999.62846848397</v>
      </c>
      <c r="J240">
        <v>986.244915005637</v>
      </c>
      <c r="K240">
        <v>1012.74896847092</v>
      </c>
      <c r="L240">
        <v>1024.11555618695</v>
      </c>
      <c r="M240">
        <v>1055.96012509756</v>
      </c>
      <c r="N240">
        <v>1070.23957958162</v>
      </c>
      <c r="O240">
        <v>1111.24017582278</v>
      </c>
      <c r="P240">
        <v>1142.92566264844</v>
      </c>
    </row>
    <row r="241" spans="1:16" ht="12.75">
      <c r="A241" s="62" t="str">
        <f t="shared" si="3"/>
        <v>Burkina Faso_GINI index</v>
      </c>
      <c r="B241" t="s">
        <v>454</v>
      </c>
      <c r="C241" t="s">
        <v>136</v>
      </c>
      <c r="D241" t="s">
        <v>438</v>
      </c>
      <c r="E241" t="s">
        <v>439</v>
      </c>
      <c r="F241" t="s">
        <v>193</v>
      </c>
      <c r="G241" t="s">
        <v>193</v>
      </c>
      <c r="H241">
        <v>46.85</v>
      </c>
      <c r="I241" t="s">
        <v>193</v>
      </c>
      <c r="J241" t="s">
        <v>193</v>
      </c>
      <c r="K241" t="s">
        <v>193</v>
      </c>
      <c r="L241" t="s">
        <v>193</v>
      </c>
      <c r="M241">
        <v>39.51</v>
      </c>
      <c r="N241" t="s">
        <v>193</v>
      </c>
      <c r="O241" t="s">
        <v>193</v>
      </c>
      <c r="P241" t="s">
        <v>193</v>
      </c>
    </row>
    <row r="242" spans="1:16" ht="12.75">
      <c r="A242" s="62" t="str">
        <f t="shared" si="3"/>
        <v>Cambodia_Poverty headcount ratio at national poverty line (% of population)</v>
      </c>
      <c r="B242" t="s">
        <v>455</v>
      </c>
      <c r="C242" t="s">
        <v>226</v>
      </c>
      <c r="D242" t="s">
        <v>408</v>
      </c>
      <c r="E242" t="s">
        <v>409</v>
      </c>
      <c r="F242" t="s">
        <v>193</v>
      </c>
      <c r="G242">
        <v>36.1</v>
      </c>
      <c r="H242" t="s">
        <v>193</v>
      </c>
      <c r="I242" t="s">
        <v>193</v>
      </c>
      <c r="J242" t="s">
        <v>193</v>
      </c>
      <c r="K242" t="s">
        <v>193</v>
      </c>
      <c r="L242" t="s">
        <v>193</v>
      </c>
      <c r="M242" t="s">
        <v>193</v>
      </c>
      <c r="N242">
        <v>35</v>
      </c>
      <c r="O242" t="s">
        <v>193</v>
      </c>
      <c r="P242" t="s">
        <v>193</v>
      </c>
    </row>
    <row r="243" spans="1:16" ht="12.75">
      <c r="A243" s="62" t="str">
        <f aca="true" t="shared" si="4" ref="A243:A306">C243&amp;"_"&amp;E243</f>
        <v>Cambodia_Poverty headcount ratio at $2 a day (PPP) (% of population)</v>
      </c>
      <c r="B243" t="s">
        <v>455</v>
      </c>
      <c r="C243" t="s">
        <v>226</v>
      </c>
      <c r="D243" t="s">
        <v>410</v>
      </c>
      <c r="E243" t="s">
        <v>411</v>
      </c>
      <c r="F243" t="s">
        <v>193</v>
      </c>
      <c r="G243" t="s">
        <v>193</v>
      </c>
      <c r="H243" t="s">
        <v>193</v>
      </c>
      <c r="I243" t="s">
        <v>193</v>
      </c>
      <c r="J243" t="s">
        <v>193</v>
      </c>
      <c r="K243" t="s">
        <v>193</v>
      </c>
      <c r="L243" t="s">
        <v>193</v>
      </c>
      <c r="M243" t="s">
        <v>193</v>
      </c>
      <c r="N243">
        <v>89.82</v>
      </c>
      <c r="O243" t="s">
        <v>193</v>
      </c>
      <c r="P243" t="s">
        <v>193</v>
      </c>
    </row>
    <row r="244" spans="1:16" ht="12.75">
      <c r="A244" s="62" t="str">
        <f t="shared" si="4"/>
        <v>Cambodia_Poverty headcount ratio at $1 a day (PPP) (% of population)</v>
      </c>
      <c r="B244" t="s">
        <v>455</v>
      </c>
      <c r="C244" t="s">
        <v>226</v>
      </c>
      <c r="D244" t="s">
        <v>412</v>
      </c>
      <c r="E244" t="s">
        <v>413</v>
      </c>
      <c r="F244" t="s">
        <v>193</v>
      </c>
      <c r="G244" t="s">
        <v>193</v>
      </c>
      <c r="H244" t="s">
        <v>193</v>
      </c>
      <c r="I244" t="s">
        <v>193</v>
      </c>
      <c r="J244" t="s">
        <v>193</v>
      </c>
      <c r="K244" t="s">
        <v>193</v>
      </c>
      <c r="L244" t="s">
        <v>193</v>
      </c>
      <c r="M244" t="s">
        <v>193</v>
      </c>
      <c r="N244">
        <v>66.01</v>
      </c>
      <c r="O244" t="s">
        <v>193</v>
      </c>
      <c r="P244" t="s">
        <v>193</v>
      </c>
    </row>
    <row r="245" spans="1:16" ht="12.75">
      <c r="A245" s="62" t="str">
        <f t="shared" si="4"/>
        <v>Cambodia_Poverty gap at $1 a day (PPP) (%)</v>
      </c>
      <c r="B245" t="s">
        <v>455</v>
      </c>
      <c r="C245" t="s">
        <v>226</v>
      </c>
      <c r="D245" t="s">
        <v>414</v>
      </c>
      <c r="E245" t="s">
        <v>415</v>
      </c>
      <c r="F245" t="s">
        <v>193</v>
      </c>
      <c r="G245" t="s">
        <v>193</v>
      </c>
      <c r="H245" t="s">
        <v>193</v>
      </c>
      <c r="I245" t="s">
        <v>193</v>
      </c>
      <c r="J245" t="s">
        <v>193</v>
      </c>
      <c r="K245" t="s">
        <v>193</v>
      </c>
      <c r="L245" t="s">
        <v>193</v>
      </c>
      <c r="M245" t="s">
        <v>193</v>
      </c>
      <c r="N245">
        <v>27.24</v>
      </c>
      <c r="O245" t="s">
        <v>193</v>
      </c>
      <c r="P245" t="s">
        <v>193</v>
      </c>
    </row>
    <row r="246" spans="1:16" ht="12.75">
      <c r="A246" s="62" t="str">
        <f t="shared" si="4"/>
        <v>Cambodia_Poverty gap at $2 a day (PPP) (%)</v>
      </c>
      <c r="B246" t="s">
        <v>455</v>
      </c>
      <c r="C246" t="s">
        <v>226</v>
      </c>
      <c r="D246" t="s">
        <v>416</v>
      </c>
      <c r="E246" t="s">
        <v>417</v>
      </c>
      <c r="F246" t="s">
        <v>193</v>
      </c>
      <c r="G246" t="s">
        <v>193</v>
      </c>
      <c r="H246" t="s">
        <v>193</v>
      </c>
      <c r="I246" t="s">
        <v>193</v>
      </c>
      <c r="J246" t="s">
        <v>193</v>
      </c>
      <c r="K246" t="s">
        <v>193</v>
      </c>
      <c r="L246" t="s">
        <v>193</v>
      </c>
      <c r="M246" t="s">
        <v>193</v>
      </c>
      <c r="N246">
        <v>54.16</v>
      </c>
      <c r="O246" t="s">
        <v>193</v>
      </c>
      <c r="P246" t="s">
        <v>193</v>
      </c>
    </row>
    <row r="247" spans="1:16" ht="12.75">
      <c r="A247" s="62" t="str">
        <f t="shared" si="4"/>
        <v>Cambodia_Population, total</v>
      </c>
      <c r="B247" t="s">
        <v>455</v>
      </c>
      <c r="C247" t="s">
        <v>226</v>
      </c>
      <c r="D247" t="s">
        <v>418</v>
      </c>
      <c r="E247" t="s">
        <v>419</v>
      </c>
      <c r="F247">
        <v>11662059</v>
      </c>
      <c r="G247">
        <v>11943401</v>
      </c>
      <c r="H247">
        <v>12214740</v>
      </c>
      <c r="I247">
        <v>12480529</v>
      </c>
      <c r="J247">
        <v>12744381</v>
      </c>
      <c r="K247">
        <v>13006993</v>
      </c>
      <c r="L247">
        <v>13268488</v>
      </c>
      <c r="M247">
        <v>13531283</v>
      </c>
      <c r="N247">
        <v>13798123</v>
      </c>
      <c r="O247">
        <v>14071014</v>
      </c>
      <c r="P247">
        <v>14350856.6631982</v>
      </c>
    </row>
    <row r="248" spans="1:16" ht="12.75">
      <c r="A248" s="62" t="str">
        <f t="shared" si="4"/>
        <v>Cambodia_Public spending on education, total (% of GDP)</v>
      </c>
      <c r="B248" t="s">
        <v>455</v>
      </c>
      <c r="C248" t="s">
        <v>226</v>
      </c>
      <c r="D248" t="s">
        <v>420</v>
      </c>
      <c r="E248" t="s">
        <v>421</v>
      </c>
      <c r="F248" t="s">
        <v>193</v>
      </c>
      <c r="G248" t="s">
        <v>193</v>
      </c>
      <c r="H248" t="s">
        <v>193</v>
      </c>
      <c r="I248">
        <v>0.965827856338878</v>
      </c>
      <c r="J248">
        <v>1.6660924426456</v>
      </c>
      <c r="K248">
        <v>1.81186060735834</v>
      </c>
      <c r="L248">
        <v>1.7953801179456</v>
      </c>
      <c r="M248">
        <v>1.90635744247923</v>
      </c>
      <c r="N248">
        <v>1.87827635854362</v>
      </c>
      <c r="O248" t="s">
        <v>193</v>
      </c>
      <c r="P248" t="s">
        <v>193</v>
      </c>
    </row>
    <row r="249" spans="1:16" ht="12.75">
      <c r="A249" s="62" t="str">
        <f t="shared" si="4"/>
        <v>Cambodia_Public spending on education, total (% of government expenditure)</v>
      </c>
      <c r="B249" t="s">
        <v>455</v>
      </c>
      <c r="C249" t="s">
        <v>226</v>
      </c>
      <c r="D249" t="s">
        <v>422</v>
      </c>
      <c r="E249" t="s">
        <v>423</v>
      </c>
      <c r="F249" t="s">
        <v>193</v>
      </c>
      <c r="G249" t="s">
        <v>193</v>
      </c>
      <c r="H249" t="s">
        <v>193</v>
      </c>
      <c r="I249">
        <v>8.66182863905966</v>
      </c>
      <c r="J249">
        <v>14.6499976907589</v>
      </c>
      <c r="K249" t="s">
        <v>193</v>
      </c>
      <c r="L249" t="s">
        <v>193</v>
      </c>
      <c r="M249" t="s">
        <v>193</v>
      </c>
      <c r="N249" t="s">
        <v>193</v>
      </c>
      <c r="O249" t="s">
        <v>193</v>
      </c>
      <c r="P249" t="s">
        <v>193</v>
      </c>
    </row>
    <row r="250" spans="1:16" ht="12.75">
      <c r="A250" s="62" t="str">
        <f t="shared" si="4"/>
        <v>Cambodia_Health expenditure, public (% of total health expenditure)</v>
      </c>
      <c r="B250" t="s">
        <v>455</v>
      </c>
      <c r="C250" t="s">
        <v>226</v>
      </c>
      <c r="D250" t="s">
        <v>424</v>
      </c>
      <c r="E250" t="s">
        <v>425</v>
      </c>
      <c r="F250" t="s">
        <v>193</v>
      </c>
      <c r="G250" t="s">
        <v>193</v>
      </c>
      <c r="H250" t="s">
        <v>193</v>
      </c>
      <c r="I250" t="s">
        <v>193</v>
      </c>
      <c r="J250">
        <v>21.7</v>
      </c>
      <c r="K250">
        <v>27.1</v>
      </c>
      <c r="L250">
        <v>28.1</v>
      </c>
      <c r="M250">
        <v>25.1</v>
      </c>
      <c r="N250">
        <v>25.8</v>
      </c>
      <c r="O250" t="s">
        <v>193</v>
      </c>
      <c r="P250" t="s">
        <v>193</v>
      </c>
    </row>
    <row r="251" spans="1:16" ht="12.75">
      <c r="A251" s="62" t="str">
        <f t="shared" si="4"/>
        <v>Cambodia_Health expenditure, public (% of GDP)</v>
      </c>
      <c r="B251" t="s">
        <v>455</v>
      </c>
      <c r="C251" t="s">
        <v>226</v>
      </c>
      <c r="D251" t="s">
        <v>426</v>
      </c>
      <c r="E251" t="s">
        <v>427</v>
      </c>
      <c r="F251" t="s">
        <v>193</v>
      </c>
      <c r="G251" t="s">
        <v>193</v>
      </c>
      <c r="H251" t="s">
        <v>193</v>
      </c>
      <c r="I251" t="s">
        <v>193</v>
      </c>
      <c r="J251">
        <v>1.2803</v>
      </c>
      <c r="K251">
        <v>1.7886</v>
      </c>
      <c r="L251">
        <v>1.9951</v>
      </c>
      <c r="M251">
        <v>1.8323</v>
      </c>
      <c r="N251">
        <v>1.7286</v>
      </c>
      <c r="O251" t="s">
        <v>193</v>
      </c>
      <c r="P251" t="s">
        <v>193</v>
      </c>
    </row>
    <row r="252" spans="1:16" ht="12.75">
      <c r="A252" s="62" t="str">
        <f t="shared" si="4"/>
        <v>Cambodia_Health expenditure, total (% of GDP)</v>
      </c>
      <c r="B252" t="s">
        <v>455</v>
      </c>
      <c r="C252" t="s">
        <v>226</v>
      </c>
      <c r="D252" t="s">
        <v>428</v>
      </c>
      <c r="E252" t="s">
        <v>429</v>
      </c>
      <c r="F252" t="s">
        <v>193</v>
      </c>
      <c r="G252" t="s">
        <v>193</v>
      </c>
      <c r="H252" t="s">
        <v>193</v>
      </c>
      <c r="I252" t="s">
        <v>193</v>
      </c>
      <c r="J252">
        <v>5.9</v>
      </c>
      <c r="K252">
        <v>6.6</v>
      </c>
      <c r="L252">
        <v>7.1</v>
      </c>
      <c r="M252">
        <v>7.3</v>
      </c>
      <c r="N252">
        <v>6.7</v>
      </c>
      <c r="O252" t="s">
        <v>193</v>
      </c>
      <c r="P252" t="s">
        <v>193</v>
      </c>
    </row>
    <row r="253" spans="1:16" ht="12.75">
      <c r="A253" s="62" t="str">
        <f t="shared" si="4"/>
        <v>Cambodia_GDP (current LCU)</v>
      </c>
      <c r="B253" t="s">
        <v>455</v>
      </c>
      <c r="C253" t="s">
        <v>226</v>
      </c>
      <c r="D253" t="s">
        <v>430</v>
      </c>
      <c r="E253" t="s">
        <v>431</v>
      </c>
      <c r="F253">
        <v>9190176194560</v>
      </c>
      <c r="G253">
        <v>10129049124864</v>
      </c>
      <c r="H253">
        <v>11718800441344</v>
      </c>
      <c r="I253">
        <v>13407600246784</v>
      </c>
      <c r="J253">
        <v>14089400090624</v>
      </c>
      <c r="K253">
        <v>15579100479488</v>
      </c>
      <c r="L253">
        <v>16768000065536</v>
      </c>
      <c r="M253">
        <v>18250201038848</v>
      </c>
      <c r="N253">
        <v>21140600782848</v>
      </c>
      <c r="O253">
        <v>25350180438016</v>
      </c>
      <c r="P253">
        <v>29512999895040</v>
      </c>
    </row>
    <row r="254" spans="1:16" ht="12.75">
      <c r="A254" s="62" t="str">
        <f t="shared" si="4"/>
        <v>Cambodia_GDP (current US$)</v>
      </c>
      <c r="B254" t="s">
        <v>455</v>
      </c>
      <c r="C254" t="s">
        <v>226</v>
      </c>
      <c r="D254" t="s">
        <v>432</v>
      </c>
      <c r="E254" t="s">
        <v>433</v>
      </c>
      <c r="F254">
        <v>3502220032</v>
      </c>
      <c r="G254">
        <v>3437887744</v>
      </c>
      <c r="H254">
        <v>3120021248</v>
      </c>
      <c r="I254">
        <v>3525717760</v>
      </c>
      <c r="J254">
        <v>3668398080</v>
      </c>
      <c r="K254">
        <v>3977981184</v>
      </c>
      <c r="L254">
        <v>4286207232</v>
      </c>
      <c r="M254">
        <v>4593170944</v>
      </c>
      <c r="N254">
        <v>5263766016</v>
      </c>
      <c r="O254">
        <v>6194301952</v>
      </c>
      <c r="P254">
        <v>7192591360</v>
      </c>
    </row>
    <row r="255" spans="1:16" ht="12.75">
      <c r="A255" s="62" t="str">
        <f t="shared" si="4"/>
        <v>Cambodia_GDP per capita, PPP (current international $)</v>
      </c>
      <c r="B255" t="s">
        <v>455</v>
      </c>
      <c r="C255" t="s">
        <v>226</v>
      </c>
      <c r="D255" t="s">
        <v>434</v>
      </c>
      <c r="E255" t="s">
        <v>435</v>
      </c>
      <c r="F255">
        <v>1311.30473055845</v>
      </c>
      <c r="G255">
        <v>1375.36440592341</v>
      </c>
      <c r="H255">
        <v>1427.18896138372</v>
      </c>
      <c r="I255">
        <v>1594.82447540007</v>
      </c>
      <c r="J255">
        <v>1730.39407819908</v>
      </c>
      <c r="K255">
        <v>1869.34497580301</v>
      </c>
      <c r="L255">
        <v>1980.09121015644</v>
      </c>
      <c r="M255">
        <v>2151.34540524295</v>
      </c>
      <c r="N255">
        <v>2380.6961971555</v>
      </c>
      <c r="O255">
        <v>2727.28244976071</v>
      </c>
      <c r="P255">
        <v>3041.40361973574</v>
      </c>
    </row>
    <row r="256" spans="1:16" ht="12.75">
      <c r="A256" s="62" t="str">
        <f t="shared" si="4"/>
        <v>Cambodia_GDP per capita, PPP (constant 2000 international $)</v>
      </c>
      <c r="B256" t="s">
        <v>455</v>
      </c>
      <c r="C256" t="s">
        <v>226</v>
      </c>
      <c r="D256" t="s">
        <v>436</v>
      </c>
      <c r="E256" t="s">
        <v>437</v>
      </c>
      <c r="F256">
        <v>1397.3082503402</v>
      </c>
      <c r="G256">
        <v>1441.49136273689</v>
      </c>
      <c r="H256">
        <v>1479.37123924577</v>
      </c>
      <c r="I256">
        <v>1629.58934173346</v>
      </c>
      <c r="J256">
        <v>1730.39407819908</v>
      </c>
      <c r="K256">
        <v>1825.37519365985</v>
      </c>
      <c r="L256">
        <v>1900.26093201438</v>
      </c>
      <c r="M256">
        <v>2023.4292433028</v>
      </c>
      <c r="N256">
        <v>2181.8904898263</v>
      </c>
      <c r="O256">
        <v>2426.34472165599</v>
      </c>
      <c r="P256">
        <v>2628.82888784456</v>
      </c>
    </row>
    <row r="257" spans="1:16" ht="12.75">
      <c r="A257" s="62" t="str">
        <f t="shared" si="4"/>
        <v>Cambodia_GINI index</v>
      </c>
      <c r="B257" t="s">
        <v>455</v>
      </c>
      <c r="C257" t="s">
        <v>226</v>
      </c>
      <c r="D257" t="s">
        <v>438</v>
      </c>
      <c r="E257" t="s">
        <v>439</v>
      </c>
      <c r="F257" t="s">
        <v>193</v>
      </c>
      <c r="G257" t="s">
        <v>193</v>
      </c>
      <c r="H257" t="s">
        <v>193</v>
      </c>
      <c r="I257" t="s">
        <v>193</v>
      </c>
      <c r="J257" t="s">
        <v>193</v>
      </c>
      <c r="K257" t="s">
        <v>193</v>
      </c>
      <c r="L257" t="s">
        <v>193</v>
      </c>
      <c r="M257" t="s">
        <v>193</v>
      </c>
      <c r="N257">
        <v>41.71</v>
      </c>
      <c r="O257" t="s">
        <v>193</v>
      </c>
      <c r="P257" t="s">
        <v>193</v>
      </c>
    </row>
    <row r="258" spans="1:16" ht="12.75">
      <c r="A258" s="62" t="str">
        <f t="shared" si="4"/>
        <v>Chile_Poverty headcount ratio at national poverty line (% of population)</v>
      </c>
      <c r="B258" t="s">
        <v>456</v>
      </c>
      <c r="C258" t="s">
        <v>240</v>
      </c>
      <c r="D258" t="s">
        <v>408</v>
      </c>
      <c r="E258" t="s">
        <v>409</v>
      </c>
      <c r="F258">
        <v>19.9</v>
      </c>
      <c r="G258" t="s">
        <v>193</v>
      </c>
      <c r="H258">
        <v>17</v>
      </c>
      <c r="I258" t="s">
        <v>193</v>
      </c>
      <c r="J258" t="s">
        <v>193</v>
      </c>
      <c r="K258" t="s">
        <v>193</v>
      </c>
      <c r="L258" t="s">
        <v>193</v>
      </c>
      <c r="M258" t="s">
        <v>193</v>
      </c>
      <c r="N258" t="s">
        <v>193</v>
      </c>
      <c r="O258" t="s">
        <v>193</v>
      </c>
      <c r="P258" t="s">
        <v>193</v>
      </c>
    </row>
    <row r="259" spans="1:16" ht="12.75">
      <c r="A259" s="62" t="str">
        <f t="shared" si="4"/>
        <v>Chile_Poverty headcount ratio at $2 a day (PPP) (% of population)</v>
      </c>
      <c r="B259" t="s">
        <v>456</v>
      </c>
      <c r="C259" t="s">
        <v>240</v>
      </c>
      <c r="D259" t="s">
        <v>410</v>
      </c>
      <c r="E259" t="s">
        <v>411</v>
      </c>
      <c r="F259">
        <v>9.71</v>
      </c>
      <c r="G259" t="s">
        <v>193</v>
      </c>
      <c r="H259" t="s">
        <v>193</v>
      </c>
      <c r="I259" t="s">
        <v>193</v>
      </c>
      <c r="J259">
        <v>9.58</v>
      </c>
      <c r="K259" t="s">
        <v>193</v>
      </c>
      <c r="L259" t="s">
        <v>193</v>
      </c>
      <c r="M259">
        <v>5.625</v>
      </c>
      <c r="N259" t="s">
        <v>193</v>
      </c>
      <c r="O259" t="s">
        <v>193</v>
      </c>
      <c r="P259" t="s">
        <v>193</v>
      </c>
    </row>
    <row r="260" spans="1:16" ht="12.75">
      <c r="A260" s="62" t="str">
        <f t="shared" si="4"/>
        <v>Chile_Poverty headcount ratio at $1 a day (PPP) (% of population)</v>
      </c>
      <c r="B260" t="s">
        <v>456</v>
      </c>
      <c r="C260" t="s">
        <v>240</v>
      </c>
      <c r="D260" t="s">
        <v>412</v>
      </c>
      <c r="E260" t="s">
        <v>413</v>
      </c>
      <c r="F260">
        <v>2</v>
      </c>
      <c r="G260" t="s">
        <v>193</v>
      </c>
      <c r="H260" t="s">
        <v>193</v>
      </c>
      <c r="I260" t="s">
        <v>193</v>
      </c>
      <c r="J260">
        <v>2</v>
      </c>
      <c r="K260" t="s">
        <v>193</v>
      </c>
      <c r="L260" t="s">
        <v>193</v>
      </c>
      <c r="M260">
        <v>2</v>
      </c>
      <c r="N260" t="s">
        <v>193</v>
      </c>
      <c r="O260" t="s">
        <v>193</v>
      </c>
      <c r="P260" t="s">
        <v>193</v>
      </c>
    </row>
    <row r="261" spans="1:16" ht="12.75">
      <c r="A261" s="62" t="str">
        <f t="shared" si="4"/>
        <v>Chile_Poverty gap at $1 a day (PPP) (%)</v>
      </c>
      <c r="B261" t="s">
        <v>456</v>
      </c>
      <c r="C261" t="s">
        <v>240</v>
      </c>
      <c r="D261" t="s">
        <v>414</v>
      </c>
      <c r="E261" t="s">
        <v>415</v>
      </c>
      <c r="F261">
        <v>0.5</v>
      </c>
      <c r="G261" t="s">
        <v>193</v>
      </c>
      <c r="H261" t="s">
        <v>193</v>
      </c>
      <c r="I261" t="s">
        <v>193</v>
      </c>
      <c r="J261">
        <v>0.5</v>
      </c>
      <c r="K261" t="s">
        <v>193</v>
      </c>
      <c r="L261" t="s">
        <v>193</v>
      </c>
      <c r="M261">
        <v>0.5</v>
      </c>
      <c r="N261" t="s">
        <v>193</v>
      </c>
      <c r="O261" t="s">
        <v>193</v>
      </c>
      <c r="P261" t="s">
        <v>193</v>
      </c>
    </row>
    <row r="262" spans="1:16" ht="12.75">
      <c r="A262" s="62" t="str">
        <f t="shared" si="4"/>
        <v>Chile_Poverty gap at $2 a day (PPP) (%)</v>
      </c>
      <c r="B262" t="s">
        <v>456</v>
      </c>
      <c r="C262" t="s">
        <v>240</v>
      </c>
      <c r="D262" t="s">
        <v>416</v>
      </c>
      <c r="E262" t="s">
        <v>417</v>
      </c>
      <c r="F262">
        <v>1.68</v>
      </c>
      <c r="G262" t="s">
        <v>193</v>
      </c>
      <c r="H262" t="s">
        <v>193</v>
      </c>
      <c r="I262" t="s">
        <v>193</v>
      </c>
      <c r="J262">
        <v>2.49</v>
      </c>
      <c r="K262" t="s">
        <v>193</v>
      </c>
      <c r="L262" t="s">
        <v>193</v>
      </c>
      <c r="M262">
        <v>1.348</v>
      </c>
      <c r="N262" t="s">
        <v>193</v>
      </c>
      <c r="O262" t="s">
        <v>193</v>
      </c>
      <c r="P262" t="s">
        <v>193</v>
      </c>
    </row>
    <row r="263" spans="1:16" ht="12.75">
      <c r="A263" s="62" t="str">
        <f t="shared" si="4"/>
        <v>Chile_Population, total</v>
      </c>
      <c r="B263" t="s">
        <v>456</v>
      </c>
      <c r="C263" t="s">
        <v>240</v>
      </c>
      <c r="D263" t="s">
        <v>418</v>
      </c>
      <c r="E263" t="s">
        <v>419</v>
      </c>
      <c r="F263">
        <v>14616951</v>
      </c>
      <c r="G263">
        <v>14827678</v>
      </c>
      <c r="H263">
        <v>15028629</v>
      </c>
      <c r="I263">
        <v>15222613</v>
      </c>
      <c r="J263">
        <v>15411830</v>
      </c>
      <c r="K263">
        <v>15596338</v>
      </c>
      <c r="L263">
        <v>15775677</v>
      </c>
      <c r="M263">
        <v>15951029</v>
      </c>
      <c r="N263">
        <v>16123815</v>
      </c>
      <c r="O263">
        <v>16295102</v>
      </c>
      <c r="P263">
        <v>16451837.3245404</v>
      </c>
    </row>
    <row r="264" spans="1:16" ht="12.75">
      <c r="A264" s="62" t="str">
        <f t="shared" si="4"/>
        <v>Chile_Public spending on education, total (% of GDP)</v>
      </c>
      <c r="B264" t="s">
        <v>456</v>
      </c>
      <c r="C264" t="s">
        <v>240</v>
      </c>
      <c r="D264" t="s">
        <v>420</v>
      </c>
      <c r="E264" t="s">
        <v>421</v>
      </c>
      <c r="F264" t="s">
        <v>193</v>
      </c>
      <c r="G264" t="s">
        <v>193</v>
      </c>
      <c r="H264" t="s">
        <v>193</v>
      </c>
      <c r="I264">
        <v>3.84047376897066</v>
      </c>
      <c r="J264">
        <v>3.90892524663669</v>
      </c>
      <c r="K264" t="s">
        <v>193</v>
      </c>
      <c r="L264">
        <v>4.23114445473964</v>
      </c>
      <c r="M264">
        <v>4.06814587215566</v>
      </c>
      <c r="N264">
        <v>3.69516597907031</v>
      </c>
      <c r="O264">
        <v>3.47931465614166</v>
      </c>
      <c r="P264" t="s">
        <v>193</v>
      </c>
    </row>
    <row r="265" spans="1:16" ht="12.75">
      <c r="A265" s="62" t="str">
        <f t="shared" si="4"/>
        <v>Chile_Public spending on education, total (% of government expenditure)</v>
      </c>
      <c r="B265" t="s">
        <v>456</v>
      </c>
      <c r="C265" t="s">
        <v>240</v>
      </c>
      <c r="D265" t="s">
        <v>422</v>
      </c>
      <c r="E265" t="s">
        <v>423</v>
      </c>
      <c r="F265" t="s">
        <v>193</v>
      </c>
      <c r="G265" t="s">
        <v>193</v>
      </c>
      <c r="H265" t="s">
        <v>193</v>
      </c>
      <c r="I265">
        <v>16.9549034068296</v>
      </c>
      <c r="J265">
        <v>17.5097130677035</v>
      </c>
      <c r="K265" t="s">
        <v>193</v>
      </c>
      <c r="L265">
        <v>18.6846867570555</v>
      </c>
      <c r="M265">
        <v>19.1348633533945</v>
      </c>
      <c r="N265">
        <v>18.4683058728551</v>
      </c>
      <c r="O265" t="s">
        <v>193</v>
      </c>
      <c r="P265" t="s">
        <v>193</v>
      </c>
    </row>
    <row r="266" spans="1:16" ht="12.75">
      <c r="A266" s="62" t="str">
        <f t="shared" si="4"/>
        <v>Chile_Health expenditure, public (% of total health expenditure)</v>
      </c>
      <c r="B266" t="s">
        <v>456</v>
      </c>
      <c r="C266" t="s">
        <v>240</v>
      </c>
      <c r="D266" t="s">
        <v>424</v>
      </c>
      <c r="E266" t="s">
        <v>425</v>
      </c>
      <c r="F266" t="s">
        <v>193</v>
      </c>
      <c r="G266" t="s">
        <v>193</v>
      </c>
      <c r="H266" t="s">
        <v>193</v>
      </c>
      <c r="I266" t="s">
        <v>193</v>
      </c>
      <c r="J266">
        <v>47.9</v>
      </c>
      <c r="K266">
        <v>49.6</v>
      </c>
      <c r="L266">
        <v>48.1</v>
      </c>
      <c r="M266">
        <v>48.3</v>
      </c>
      <c r="N266">
        <v>47</v>
      </c>
      <c r="O266" t="s">
        <v>193</v>
      </c>
      <c r="P266" t="s">
        <v>193</v>
      </c>
    </row>
    <row r="267" spans="1:16" ht="12.75">
      <c r="A267" s="62" t="str">
        <f t="shared" si="4"/>
        <v>Chile_Health expenditure, public (% of GDP)</v>
      </c>
      <c r="B267" t="s">
        <v>456</v>
      </c>
      <c r="C267" t="s">
        <v>240</v>
      </c>
      <c r="D267" t="s">
        <v>426</v>
      </c>
      <c r="E267" t="s">
        <v>427</v>
      </c>
      <c r="F267" t="s">
        <v>193</v>
      </c>
      <c r="G267" t="s">
        <v>193</v>
      </c>
      <c r="H267" t="s">
        <v>193</v>
      </c>
      <c r="I267" t="s">
        <v>193</v>
      </c>
      <c r="J267">
        <v>3.0177</v>
      </c>
      <c r="K267">
        <v>3.1744</v>
      </c>
      <c r="L267">
        <v>2.9822</v>
      </c>
      <c r="M267">
        <v>2.898</v>
      </c>
      <c r="N267">
        <v>2.867</v>
      </c>
      <c r="O267" t="s">
        <v>193</v>
      </c>
      <c r="P267" t="s">
        <v>193</v>
      </c>
    </row>
    <row r="268" spans="1:16" ht="12.75">
      <c r="A268" s="62" t="str">
        <f t="shared" si="4"/>
        <v>Chile_Health expenditure, total (% of GDP)</v>
      </c>
      <c r="B268" t="s">
        <v>456</v>
      </c>
      <c r="C268" t="s">
        <v>240</v>
      </c>
      <c r="D268" t="s">
        <v>428</v>
      </c>
      <c r="E268" t="s">
        <v>429</v>
      </c>
      <c r="F268" t="s">
        <v>193</v>
      </c>
      <c r="G268" t="s">
        <v>193</v>
      </c>
      <c r="H268" t="s">
        <v>193</v>
      </c>
      <c r="I268" t="s">
        <v>193</v>
      </c>
      <c r="J268">
        <v>6.3</v>
      </c>
      <c r="K268">
        <v>6.4</v>
      </c>
      <c r="L268">
        <v>6.2</v>
      </c>
      <c r="M268">
        <v>6</v>
      </c>
      <c r="N268">
        <v>6.1</v>
      </c>
      <c r="O268" t="s">
        <v>193</v>
      </c>
      <c r="P268" t="s">
        <v>193</v>
      </c>
    </row>
    <row r="269" spans="1:16" ht="12.75">
      <c r="A269" s="62" t="str">
        <f t="shared" si="4"/>
        <v>Chile_GDP (current LCU)</v>
      </c>
      <c r="B269" t="s">
        <v>456</v>
      </c>
      <c r="C269" t="s">
        <v>240</v>
      </c>
      <c r="D269" t="s">
        <v>430</v>
      </c>
      <c r="E269" t="s">
        <v>431</v>
      </c>
      <c r="F269">
        <v>31237288755200</v>
      </c>
      <c r="G269">
        <v>34722635841536</v>
      </c>
      <c r="H269">
        <v>36534875062272</v>
      </c>
      <c r="I269">
        <v>37138540265472</v>
      </c>
      <c r="J269">
        <v>40575319408640</v>
      </c>
      <c r="K269">
        <v>43536753885184</v>
      </c>
      <c r="L269">
        <v>46341828902912</v>
      </c>
      <c r="M269">
        <v>51156415938560</v>
      </c>
      <c r="N269">
        <v>58404605263872</v>
      </c>
      <c r="O269">
        <v>66598991822848</v>
      </c>
      <c r="P269">
        <v>77337697714176</v>
      </c>
    </row>
    <row r="270" spans="1:16" ht="12.75">
      <c r="A270" s="62" t="str">
        <f t="shared" si="4"/>
        <v>Chile_GDP (current US$)</v>
      </c>
      <c r="B270" t="s">
        <v>456</v>
      </c>
      <c r="C270" t="s">
        <v>240</v>
      </c>
      <c r="D270" t="s">
        <v>432</v>
      </c>
      <c r="E270" t="s">
        <v>433</v>
      </c>
      <c r="F270">
        <v>75769012224</v>
      </c>
      <c r="G270">
        <v>82810961920</v>
      </c>
      <c r="H270">
        <v>79373598720</v>
      </c>
      <c r="I270">
        <v>72995282944</v>
      </c>
      <c r="J270">
        <v>75213307904</v>
      </c>
      <c r="K270">
        <v>68568293376</v>
      </c>
      <c r="L270">
        <v>67265404928</v>
      </c>
      <c r="M270">
        <v>73986400256</v>
      </c>
      <c r="N270">
        <v>95844237312</v>
      </c>
      <c r="O270">
        <v>118907650048</v>
      </c>
      <c r="P270">
        <v>145841192960</v>
      </c>
    </row>
    <row r="271" spans="1:16" ht="12.75">
      <c r="A271" s="62" t="str">
        <f t="shared" si="4"/>
        <v>Chile_GDP per capita, PPP (current international $)</v>
      </c>
      <c r="B271" t="s">
        <v>456</v>
      </c>
      <c r="C271" t="s">
        <v>240</v>
      </c>
      <c r="D271" t="s">
        <v>434</v>
      </c>
      <c r="E271" t="s">
        <v>435</v>
      </c>
      <c r="F271">
        <v>7918.22640036565</v>
      </c>
      <c r="G271">
        <v>8460.30077237944</v>
      </c>
      <c r="H271">
        <v>8712.59994257109</v>
      </c>
      <c r="I271">
        <v>8659.47166889828</v>
      </c>
      <c r="J271">
        <v>9131.92984738813</v>
      </c>
      <c r="K271">
        <v>9553.34617248779</v>
      </c>
      <c r="L271">
        <v>9819.92483728502</v>
      </c>
      <c r="M271">
        <v>10297.7856199113</v>
      </c>
      <c r="N271">
        <v>11080.3135816677</v>
      </c>
      <c r="O271">
        <v>11939.9690395787</v>
      </c>
      <c r="P271">
        <v>12655.2995641696</v>
      </c>
    </row>
    <row r="272" spans="1:16" ht="12.75">
      <c r="A272" s="62" t="str">
        <f t="shared" si="4"/>
        <v>Chile_GDP per capita, PPP (constant 2000 international $)</v>
      </c>
      <c r="B272" t="s">
        <v>456</v>
      </c>
      <c r="C272" t="s">
        <v>240</v>
      </c>
      <c r="D272" t="s">
        <v>436</v>
      </c>
      <c r="E272" t="s">
        <v>437</v>
      </c>
      <c r="F272">
        <v>8437.5529344583</v>
      </c>
      <c r="G272">
        <v>8867.06856526018</v>
      </c>
      <c r="H272">
        <v>9031.15853810793</v>
      </c>
      <c r="I272">
        <v>8848.23562363474</v>
      </c>
      <c r="J272">
        <v>9131.92984738813</v>
      </c>
      <c r="K272">
        <v>9328.63722075348</v>
      </c>
      <c r="L272">
        <v>9424.020180432</v>
      </c>
      <c r="M272">
        <v>9685.49286126305</v>
      </c>
      <c r="N272">
        <v>10155.0256000828</v>
      </c>
      <c r="O272">
        <v>10622.47177899</v>
      </c>
      <c r="P272">
        <v>10938.5735134708</v>
      </c>
    </row>
    <row r="273" spans="1:16" ht="12.75">
      <c r="A273" s="62" t="str">
        <f t="shared" si="4"/>
        <v>Chile_GINI index</v>
      </c>
      <c r="B273" t="s">
        <v>456</v>
      </c>
      <c r="C273" t="s">
        <v>240</v>
      </c>
      <c r="D273" t="s">
        <v>438</v>
      </c>
      <c r="E273" t="s">
        <v>439</v>
      </c>
      <c r="F273">
        <v>57.47</v>
      </c>
      <c r="G273" t="s">
        <v>193</v>
      </c>
      <c r="H273" t="s">
        <v>193</v>
      </c>
      <c r="I273" t="s">
        <v>193</v>
      </c>
      <c r="J273">
        <v>57.61</v>
      </c>
      <c r="K273" t="s">
        <v>193</v>
      </c>
      <c r="L273" t="s">
        <v>193</v>
      </c>
      <c r="M273">
        <v>54.92</v>
      </c>
      <c r="N273" t="s">
        <v>193</v>
      </c>
      <c r="O273" t="s">
        <v>193</v>
      </c>
      <c r="P273" t="s">
        <v>193</v>
      </c>
    </row>
    <row r="274" spans="1:16" ht="12.75">
      <c r="A274" s="62" t="str">
        <f t="shared" si="4"/>
        <v>Colombia_Poverty headcount ratio at national poverty line (% of population)</v>
      </c>
      <c r="B274" t="s">
        <v>457</v>
      </c>
      <c r="C274" t="s">
        <v>241</v>
      </c>
      <c r="D274" t="s">
        <v>408</v>
      </c>
      <c r="E274" t="s">
        <v>409</v>
      </c>
      <c r="F274" t="s">
        <v>193</v>
      </c>
      <c r="G274" t="s">
        <v>193</v>
      </c>
      <c r="H274" t="s">
        <v>193</v>
      </c>
      <c r="I274">
        <v>64</v>
      </c>
      <c r="J274" t="s">
        <v>193</v>
      </c>
      <c r="K274" t="s">
        <v>193</v>
      </c>
      <c r="L274" t="s">
        <v>193</v>
      </c>
      <c r="M274" t="s">
        <v>193</v>
      </c>
      <c r="N274" t="s">
        <v>193</v>
      </c>
      <c r="O274" t="s">
        <v>193</v>
      </c>
      <c r="P274" t="s">
        <v>193</v>
      </c>
    </row>
    <row r="275" spans="1:16" ht="12.75">
      <c r="A275" s="62" t="str">
        <f t="shared" si="4"/>
        <v>Colombia_Poverty headcount ratio at $2 a day (PPP) (% of population)</v>
      </c>
      <c r="B275" t="s">
        <v>457</v>
      </c>
      <c r="C275" t="s">
        <v>241</v>
      </c>
      <c r="D275" t="s">
        <v>410</v>
      </c>
      <c r="E275" t="s">
        <v>411</v>
      </c>
      <c r="F275">
        <v>18.36</v>
      </c>
      <c r="G275" t="s">
        <v>193</v>
      </c>
      <c r="H275">
        <v>20.93</v>
      </c>
      <c r="I275">
        <v>22.56</v>
      </c>
      <c r="J275" t="s">
        <v>193</v>
      </c>
      <c r="K275" t="s">
        <v>193</v>
      </c>
      <c r="L275" t="s">
        <v>193</v>
      </c>
      <c r="M275">
        <v>17.76</v>
      </c>
      <c r="N275" t="s">
        <v>193</v>
      </c>
      <c r="O275" t="s">
        <v>193</v>
      </c>
      <c r="P275" t="s">
        <v>193</v>
      </c>
    </row>
    <row r="276" spans="1:16" ht="12.75">
      <c r="A276" s="62" t="str">
        <f t="shared" si="4"/>
        <v>Colombia_Poverty headcount ratio at $1 a day (PPP) (% of population)</v>
      </c>
      <c r="B276" t="s">
        <v>457</v>
      </c>
      <c r="C276" t="s">
        <v>241</v>
      </c>
      <c r="D276" t="s">
        <v>412</v>
      </c>
      <c r="E276" t="s">
        <v>413</v>
      </c>
      <c r="F276">
        <v>5.28</v>
      </c>
      <c r="G276" t="s">
        <v>193</v>
      </c>
      <c r="H276">
        <v>8.26</v>
      </c>
      <c r="I276">
        <v>8.18</v>
      </c>
      <c r="J276" t="s">
        <v>193</v>
      </c>
      <c r="K276" t="s">
        <v>193</v>
      </c>
      <c r="L276" t="s">
        <v>193</v>
      </c>
      <c r="M276">
        <v>7.03</v>
      </c>
      <c r="N276" t="s">
        <v>193</v>
      </c>
      <c r="O276" t="s">
        <v>193</v>
      </c>
      <c r="P276" t="s">
        <v>193</v>
      </c>
    </row>
    <row r="277" spans="1:16" ht="12.75">
      <c r="A277" s="62" t="str">
        <f t="shared" si="4"/>
        <v>Colombia_Poverty gap at $1 a day (PPP) (%)</v>
      </c>
      <c r="B277" t="s">
        <v>457</v>
      </c>
      <c r="C277" t="s">
        <v>241</v>
      </c>
      <c r="D277" t="s">
        <v>414</v>
      </c>
      <c r="E277" t="s">
        <v>415</v>
      </c>
      <c r="F277">
        <v>1.03</v>
      </c>
      <c r="G277" t="s">
        <v>193</v>
      </c>
      <c r="H277">
        <v>3.29</v>
      </c>
      <c r="I277">
        <v>2.21</v>
      </c>
      <c r="J277" t="s">
        <v>193</v>
      </c>
      <c r="K277" t="s">
        <v>193</v>
      </c>
      <c r="L277" t="s">
        <v>193</v>
      </c>
      <c r="M277">
        <v>3.07</v>
      </c>
      <c r="N277" t="s">
        <v>193</v>
      </c>
      <c r="O277" t="s">
        <v>193</v>
      </c>
      <c r="P277" t="s">
        <v>193</v>
      </c>
    </row>
    <row r="278" spans="1:16" ht="12.75">
      <c r="A278" s="62" t="str">
        <f t="shared" si="4"/>
        <v>Colombia_Poverty gap at $2 a day (PPP) (%)</v>
      </c>
      <c r="B278" t="s">
        <v>457</v>
      </c>
      <c r="C278" t="s">
        <v>241</v>
      </c>
      <c r="D278" t="s">
        <v>416</v>
      </c>
      <c r="E278" t="s">
        <v>417</v>
      </c>
      <c r="F278">
        <v>6.46</v>
      </c>
      <c r="G278" t="s">
        <v>193</v>
      </c>
      <c r="H278">
        <v>8.94</v>
      </c>
      <c r="I278">
        <v>8.84</v>
      </c>
      <c r="J278" t="s">
        <v>193</v>
      </c>
      <c r="K278" t="s">
        <v>193</v>
      </c>
      <c r="L278" t="s">
        <v>193</v>
      </c>
      <c r="M278">
        <v>7.7</v>
      </c>
      <c r="N278" t="s">
        <v>193</v>
      </c>
      <c r="O278" t="s">
        <v>193</v>
      </c>
      <c r="P278" t="s">
        <v>193</v>
      </c>
    </row>
    <row r="279" spans="1:16" ht="12.75">
      <c r="A279" s="62" t="str">
        <f t="shared" si="4"/>
        <v>Colombia_Population, total</v>
      </c>
      <c r="B279" t="s">
        <v>457</v>
      </c>
      <c r="C279" t="s">
        <v>241</v>
      </c>
      <c r="D279" t="s">
        <v>418</v>
      </c>
      <c r="E279" t="s">
        <v>419</v>
      </c>
      <c r="F279">
        <v>38944760</v>
      </c>
      <c r="G279">
        <v>39632703</v>
      </c>
      <c r="H279">
        <v>40320162</v>
      </c>
      <c r="I279">
        <v>41004272</v>
      </c>
      <c r="J279">
        <v>41682594</v>
      </c>
      <c r="K279">
        <v>42354499</v>
      </c>
      <c r="L279">
        <v>43019308</v>
      </c>
      <c r="M279">
        <v>43674544</v>
      </c>
      <c r="N279">
        <v>44317343</v>
      </c>
      <c r="O279">
        <v>44945790</v>
      </c>
      <c r="P279">
        <v>45556000</v>
      </c>
    </row>
    <row r="280" spans="1:16" ht="12.75">
      <c r="A280" s="62" t="str">
        <f t="shared" si="4"/>
        <v>Colombia_Public spending on education, total (% of GDP)</v>
      </c>
      <c r="B280" t="s">
        <v>457</v>
      </c>
      <c r="C280" t="s">
        <v>241</v>
      </c>
      <c r="D280" t="s">
        <v>420</v>
      </c>
      <c r="E280" t="s">
        <v>421</v>
      </c>
      <c r="F280" t="s">
        <v>193</v>
      </c>
      <c r="G280" t="s">
        <v>193</v>
      </c>
      <c r="H280" t="s">
        <v>193</v>
      </c>
      <c r="I280">
        <v>4.4407996497272</v>
      </c>
      <c r="J280">
        <v>4.18646191517073</v>
      </c>
      <c r="K280">
        <v>4.44216603194366</v>
      </c>
      <c r="L280">
        <v>5.14654089597324</v>
      </c>
      <c r="M280">
        <v>5.15468014122643</v>
      </c>
      <c r="N280">
        <v>4.93491720776597</v>
      </c>
      <c r="O280">
        <v>4.78751643228581</v>
      </c>
      <c r="P280" t="s">
        <v>193</v>
      </c>
    </row>
    <row r="281" spans="1:16" ht="12.75">
      <c r="A281" s="62" t="str">
        <f t="shared" si="4"/>
        <v>Colombia_Public spending on education, total (% of government expenditure)</v>
      </c>
      <c r="B281" t="s">
        <v>457</v>
      </c>
      <c r="C281" t="s">
        <v>241</v>
      </c>
      <c r="D281" t="s">
        <v>422</v>
      </c>
      <c r="E281" t="s">
        <v>423</v>
      </c>
      <c r="F281" t="s">
        <v>193</v>
      </c>
      <c r="G281" t="s">
        <v>193</v>
      </c>
      <c r="H281" t="s">
        <v>193</v>
      </c>
      <c r="I281">
        <v>16.9000000019585</v>
      </c>
      <c r="J281">
        <v>17.3711695759284</v>
      </c>
      <c r="K281">
        <v>17.9999999982808</v>
      </c>
      <c r="L281">
        <v>15.5610907207438</v>
      </c>
      <c r="M281" t="s">
        <v>193</v>
      </c>
      <c r="N281">
        <v>11.7263681913139</v>
      </c>
      <c r="O281">
        <v>11.063264806104</v>
      </c>
      <c r="P281" t="s">
        <v>193</v>
      </c>
    </row>
    <row r="282" spans="1:16" ht="12.75">
      <c r="A282" s="62" t="str">
        <f t="shared" si="4"/>
        <v>Colombia_Health expenditure, public (% of total health expenditure)</v>
      </c>
      <c r="B282" t="s">
        <v>457</v>
      </c>
      <c r="C282" t="s">
        <v>241</v>
      </c>
      <c r="D282" t="s">
        <v>424</v>
      </c>
      <c r="E282" t="s">
        <v>425</v>
      </c>
      <c r="F282" t="s">
        <v>193</v>
      </c>
      <c r="G282" t="s">
        <v>193</v>
      </c>
      <c r="H282" t="s">
        <v>193</v>
      </c>
      <c r="I282" t="s">
        <v>193</v>
      </c>
      <c r="J282">
        <v>80.9</v>
      </c>
      <c r="K282">
        <v>80.2</v>
      </c>
      <c r="L282">
        <v>82.2</v>
      </c>
      <c r="M282">
        <v>84.1</v>
      </c>
      <c r="N282">
        <v>86</v>
      </c>
      <c r="O282" t="s">
        <v>193</v>
      </c>
      <c r="P282" t="s">
        <v>193</v>
      </c>
    </row>
    <row r="283" spans="1:16" ht="12.75">
      <c r="A283" s="62" t="str">
        <f t="shared" si="4"/>
        <v>Colombia_Health expenditure, public (% of GDP)</v>
      </c>
      <c r="B283" t="s">
        <v>457</v>
      </c>
      <c r="C283" t="s">
        <v>241</v>
      </c>
      <c r="D283" t="s">
        <v>426</v>
      </c>
      <c r="E283" t="s">
        <v>427</v>
      </c>
      <c r="F283" t="s">
        <v>193</v>
      </c>
      <c r="G283" t="s">
        <v>193</v>
      </c>
      <c r="H283" t="s">
        <v>193</v>
      </c>
      <c r="I283" t="s">
        <v>193</v>
      </c>
      <c r="J283">
        <v>6.2293</v>
      </c>
      <c r="K283">
        <v>6.1754</v>
      </c>
      <c r="L283">
        <v>6.2472</v>
      </c>
      <c r="M283">
        <v>6.4757</v>
      </c>
      <c r="N283">
        <v>6.708</v>
      </c>
      <c r="O283" t="s">
        <v>193</v>
      </c>
      <c r="P283" t="s">
        <v>193</v>
      </c>
    </row>
    <row r="284" spans="1:16" ht="12.75">
      <c r="A284" s="62" t="str">
        <f t="shared" si="4"/>
        <v>Colombia_Health expenditure, total (% of GDP)</v>
      </c>
      <c r="B284" t="s">
        <v>457</v>
      </c>
      <c r="C284" t="s">
        <v>241</v>
      </c>
      <c r="D284" t="s">
        <v>428</v>
      </c>
      <c r="E284" t="s">
        <v>429</v>
      </c>
      <c r="F284" t="s">
        <v>193</v>
      </c>
      <c r="G284" t="s">
        <v>193</v>
      </c>
      <c r="H284" t="s">
        <v>193</v>
      </c>
      <c r="I284" t="s">
        <v>193</v>
      </c>
      <c r="J284">
        <v>7.7</v>
      </c>
      <c r="K284">
        <v>7.7</v>
      </c>
      <c r="L284">
        <v>7.6</v>
      </c>
      <c r="M284">
        <v>7.7</v>
      </c>
      <c r="N284">
        <v>7.8</v>
      </c>
      <c r="O284" t="s">
        <v>193</v>
      </c>
      <c r="P284" t="s">
        <v>193</v>
      </c>
    </row>
    <row r="285" spans="1:16" ht="12.75">
      <c r="A285" s="62" t="str">
        <f t="shared" si="4"/>
        <v>Colombia_GDP (current LCU)</v>
      </c>
      <c r="B285" t="s">
        <v>457</v>
      </c>
      <c r="C285" t="s">
        <v>241</v>
      </c>
      <c r="D285" t="s">
        <v>430</v>
      </c>
      <c r="E285" t="s">
        <v>431</v>
      </c>
      <c r="F285">
        <v>100711387889664</v>
      </c>
      <c r="G285">
        <v>121707503288320</v>
      </c>
      <c r="H285">
        <v>140483321921536</v>
      </c>
      <c r="I285">
        <v>151565000245248</v>
      </c>
      <c r="J285">
        <v>174896252452864</v>
      </c>
      <c r="K285">
        <v>188558778302464</v>
      </c>
      <c r="L285">
        <v>203451409629184</v>
      </c>
      <c r="M285">
        <v>228516603887616</v>
      </c>
      <c r="N285">
        <v>257746372919296</v>
      </c>
      <c r="O285">
        <v>285312865533952</v>
      </c>
      <c r="P285">
        <v>320727857233920</v>
      </c>
    </row>
    <row r="286" spans="1:16" ht="12.75">
      <c r="A286" s="62" t="str">
        <f t="shared" si="4"/>
        <v>Colombia_GDP (current US$)</v>
      </c>
      <c r="B286" t="s">
        <v>457</v>
      </c>
      <c r="C286" t="s">
        <v>241</v>
      </c>
      <c r="D286" t="s">
        <v>432</v>
      </c>
      <c r="E286" t="s">
        <v>433</v>
      </c>
      <c r="F286">
        <v>97146134528</v>
      </c>
      <c r="G286">
        <v>106667401216</v>
      </c>
      <c r="H286">
        <v>98481119232</v>
      </c>
      <c r="I286">
        <v>86283165696</v>
      </c>
      <c r="J286">
        <v>83778617344</v>
      </c>
      <c r="K286">
        <v>81990279168</v>
      </c>
      <c r="L286">
        <v>81244078080</v>
      </c>
      <c r="M286">
        <v>79410839552</v>
      </c>
      <c r="N286">
        <v>98054242304</v>
      </c>
      <c r="O286">
        <v>122939940864</v>
      </c>
      <c r="P286">
        <v>135836016640</v>
      </c>
    </row>
    <row r="287" spans="1:16" ht="12.75">
      <c r="A287" s="62" t="str">
        <f t="shared" si="4"/>
        <v>Colombia_GDP per capita, PPP (current international $)</v>
      </c>
      <c r="B287" t="s">
        <v>457</v>
      </c>
      <c r="C287" t="s">
        <v>241</v>
      </c>
      <c r="D287" t="s">
        <v>434</v>
      </c>
      <c r="E287" t="s">
        <v>435</v>
      </c>
      <c r="F287">
        <v>5850.27922397944</v>
      </c>
      <c r="G287">
        <v>6045.24623415947</v>
      </c>
      <c r="H287">
        <v>6042.42835202955</v>
      </c>
      <c r="I287">
        <v>5774.07495168929</v>
      </c>
      <c r="J287">
        <v>5973.68505814447</v>
      </c>
      <c r="K287">
        <v>6109.12490129029</v>
      </c>
      <c r="L287">
        <v>6238.31690890482</v>
      </c>
      <c r="M287">
        <v>6511.65735644204</v>
      </c>
      <c r="N287">
        <v>6906.11437929784</v>
      </c>
      <c r="O287">
        <v>7346.18367728069</v>
      </c>
      <c r="P287">
        <v>7966.75527283038</v>
      </c>
    </row>
    <row r="288" spans="1:16" ht="12.75">
      <c r="A288" s="62" t="str">
        <f t="shared" si="4"/>
        <v>Colombia_GDP per capita, PPP (constant 2000 international $)</v>
      </c>
      <c r="B288" t="s">
        <v>457</v>
      </c>
      <c r="C288" t="s">
        <v>241</v>
      </c>
      <c r="D288" t="s">
        <v>436</v>
      </c>
      <c r="E288" t="s">
        <v>437</v>
      </c>
      <c r="F288">
        <v>6233.9769208176</v>
      </c>
      <c r="G288">
        <v>6335.89919488134</v>
      </c>
      <c r="H288">
        <v>6263.35752382009</v>
      </c>
      <c r="I288">
        <v>5899.94143228998</v>
      </c>
      <c r="J288">
        <v>5973.68505814447</v>
      </c>
      <c r="K288">
        <v>5965.42917125003</v>
      </c>
      <c r="L288">
        <v>5986.81002304935</v>
      </c>
      <c r="M288">
        <v>6124.4827935497</v>
      </c>
      <c r="N288">
        <v>6329.40284604419</v>
      </c>
      <c r="O288">
        <v>6535.58049744695</v>
      </c>
      <c r="P288">
        <v>6886.04309789839</v>
      </c>
    </row>
    <row r="289" spans="1:16" ht="12.75">
      <c r="A289" s="62" t="str">
        <f t="shared" si="4"/>
        <v>Colombia_GINI index</v>
      </c>
      <c r="B289" t="s">
        <v>457</v>
      </c>
      <c r="C289" t="s">
        <v>241</v>
      </c>
      <c r="D289" t="s">
        <v>438</v>
      </c>
      <c r="E289" t="s">
        <v>439</v>
      </c>
      <c r="F289">
        <v>56.96</v>
      </c>
      <c r="G289" t="s">
        <v>193</v>
      </c>
      <c r="H289">
        <v>58.21</v>
      </c>
      <c r="I289">
        <v>57.92</v>
      </c>
      <c r="J289" t="s">
        <v>193</v>
      </c>
      <c r="K289" t="s">
        <v>193</v>
      </c>
      <c r="L289" t="s">
        <v>193</v>
      </c>
      <c r="M289">
        <v>58.622</v>
      </c>
      <c r="N289" t="s">
        <v>193</v>
      </c>
      <c r="O289" t="s">
        <v>193</v>
      </c>
      <c r="P289" t="s">
        <v>193</v>
      </c>
    </row>
    <row r="290" spans="1:16" ht="12.75">
      <c r="A290" s="62" t="str">
        <f t="shared" si="4"/>
        <v>China_Poverty headcount ratio at national poverty line (% of population)</v>
      </c>
      <c r="B290" t="s">
        <v>458</v>
      </c>
      <c r="C290" t="s">
        <v>459</v>
      </c>
      <c r="D290" t="s">
        <v>408</v>
      </c>
      <c r="E290" t="s">
        <v>409</v>
      </c>
      <c r="F290">
        <v>6</v>
      </c>
      <c r="G290" t="s">
        <v>193</v>
      </c>
      <c r="H290">
        <v>4.6</v>
      </c>
      <c r="I290" t="s">
        <v>193</v>
      </c>
      <c r="J290" t="s">
        <v>193</v>
      </c>
      <c r="K290" t="s">
        <v>193</v>
      </c>
      <c r="L290" t="s">
        <v>193</v>
      </c>
      <c r="M290" t="s">
        <v>193</v>
      </c>
      <c r="N290" t="s">
        <v>193</v>
      </c>
      <c r="O290" t="s">
        <v>193</v>
      </c>
      <c r="P290" t="s">
        <v>193</v>
      </c>
    </row>
    <row r="291" spans="1:16" ht="12.75">
      <c r="A291" s="62" t="str">
        <f t="shared" si="4"/>
        <v>China_Poverty headcount ratio at $2 a day (PPP) (% of population)</v>
      </c>
      <c r="B291" t="s">
        <v>458</v>
      </c>
      <c r="C291" t="s">
        <v>459</v>
      </c>
      <c r="D291" t="s">
        <v>410</v>
      </c>
      <c r="E291" t="s">
        <v>411</v>
      </c>
      <c r="F291">
        <v>53.342464</v>
      </c>
      <c r="G291" t="s">
        <v>193</v>
      </c>
      <c r="H291" t="s">
        <v>193</v>
      </c>
      <c r="I291">
        <v>50.054736</v>
      </c>
      <c r="J291" t="s">
        <v>193</v>
      </c>
      <c r="K291">
        <v>40.94</v>
      </c>
      <c r="L291" t="s">
        <v>193</v>
      </c>
      <c r="M291" t="s">
        <v>193</v>
      </c>
      <c r="N291">
        <v>34.89</v>
      </c>
      <c r="O291" t="s">
        <v>193</v>
      </c>
      <c r="P291" t="s">
        <v>193</v>
      </c>
    </row>
    <row r="292" spans="1:16" ht="12.75">
      <c r="A292" s="62" t="str">
        <f t="shared" si="4"/>
        <v>China_Poverty headcount ratio at $1 a day (PPP) (% of population)</v>
      </c>
      <c r="B292" t="s">
        <v>458</v>
      </c>
      <c r="C292" t="s">
        <v>459</v>
      </c>
      <c r="D292" t="s">
        <v>412</v>
      </c>
      <c r="E292" t="s">
        <v>413</v>
      </c>
      <c r="F292">
        <v>17.365928</v>
      </c>
      <c r="G292" t="s">
        <v>193</v>
      </c>
      <c r="H292" t="s">
        <v>193</v>
      </c>
      <c r="I292">
        <v>17.769388</v>
      </c>
      <c r="J292" t="s">
        <v>193</v>
      </c>
      <c r="K292">
        <v>13.793292</v>
      </c>
      <c r="L292" t="s">
        <v>193</v>
      </c>
      <c r="M292" t="s">
        <v>193</v>
      </c>
      <c r="N292">
        <v>9.9</v>
      </c>
      <c r="O292" t="s">
        <v>193</v>
      </c>
      <c r="P292" t="s">
        <v>193</v>
      </c>
    </row>
    <row r="293" spans="1:16" ht="12.75">
      <c r="A293" s="62" t="str">
        <f t="shared" si="4"/>
        <v>China_Poverty gap at $1 a day (PPP) (%)</v>
      </c>
      <c r="B293" t="s">
        <v>458</v>
      </c>
      <c r="C293" t="s">
        <v>459</v>
      </c>
      <c r="D293" t="s">
        <v>414</v>
      </c>
      <c r="E293" t="s">
        <v>415</v>
      </c>
      <c r="F293" t="s">
        <v>193</v>
      </c>
      <c r="G293" t="s">
        <v>193</v>
      </c>
      <c r="H293" t="s">
        <v>193</v>
      </c>
      <c r="I293" t="s">
        <v>193</v>
      </c>
      <c r="J293" t="s">
        <v>193</v>
      </c>
      <c r="K293" t="s">
        <v>193</v>
      </c>
      <c r="L293" t="s">
        <v>193</v>
      </c>
      <c r="M293" t="s">
        <v>193</v>
      </c>
      <c r="N293">
        <v>2.1</v>
      </c>
      <c r="O293" t="s">
        <v>193</v>
      </c>
      <c r="P293" t="s">
        <v>193</v>
      </c>
    </row>
    <row r="294" spans="1:16" ht="12.75">
      <c r="A294" s="62" t="str">
        <f t="shared" si="4"/>
        <v>China_Poverty gap at $2 a day (PPP) (%)</v>
      </c>
      <c r="B294" t="s">
        <v>458</v>
      </c>
      <c r="C294" t="s">
        <v>459</v>
      </c>
      <c r="D294" t="s">
        <v>416</v>
      </c>
      <c r="E294" t="s">
        <v>417</v>
      </c>
      <c r="F294" t="s">
        <v>193</v>
      </c>
      <c r="G294" t="s">
        <v>193</v>
      </c>
      <c r="H294" t="s">
        <v>193</v>
      </c>
      <c r="I294" t="s">
        <v>193</v>
      </c>
      <c r="J294" t="s">
        <v>193</v>
      </c>
      <c r="K294" t="s">
        <v>193</v>
      </c>
      <c r="L294" t="s">
        <v>193</v>
      </c>
      <c r="M294" t="s">
        <v>193</v>
      </c>
      <c r="N294">
        <v>12.51</v>
      </c>
      <c r="O294" t="s">
        <v>193</v>
      </c>
      <c r="P294" t="s">
        <v>193</v>
      </c>
    </row>
    <row r="295" spans="1:16" ht="12.75">
      <c r="A295" s="62" t="str">
        <f t="shared" si="4"/>
        <v>China_Population, total</v>
      </c>
      <c r="B295" t="s">
        <v>458</v>
      </c>
      <c r="C295" t="s">
        <v>459</v>
      </c>
      <c r="D295" t="s">
        <v>418</v>
      </c>
      <c r="E295" t="s">
        <v>419</v>
      </c>
      <c r="F295">
        <v>1217550000</v>
      </c>
      <c r="G295">
        <v>1230075000</v>
      </c>
      <c r="H295">
        <v>1241935000</v>
      </c>
      <c r="I295">
        <v>1253735000</v>
      </c>
      <c r="J295">
        <v>1262645000</v>
      </c>
      <c r="K295">
        <v>1271850000</v>
      </c>
      <c r="L295">
        <v>1280400000</v>
      </c>
      <c r="M295">
        <v>1288400000</v>
      </c>
      <c r="N295">
        <v>1296157471.63539</v>
      </c>
      <c r="O295">
        <v>1304500000</v>
      </c>
      <c r="P295">
        <v>1311797691.80716</v>
      </c>
    </row>
    <row r="296" spans="1:16" ht="12.75">
      <c r="A296" s="62" t="str">
        <f t="shared" si="4"/>
        <v>China_Public spending on education, total (% of GDP)</v>
      </c>
      <c r="B296" t="s">
        <v>458</v>
      </c>
      <c r="C296" t="s">
        <v>459</v>
      </c>
      <c r="D296" t="s">
        <v>420</v>
      </c>
      <c r="E296" t="s">
        <v>421</v>
      </c>
      <c r="F296" t="s">
        <v>193</v>
      </c>
      <c r="G296" t="s">
        <v>193</v>
      </c>
      <c r="H296" t="s">
        <v>193</v>
      </c>
      <c r="I296">
        <v>1.90672238563357</v>
      </c>
      <c r="J296" t="s">
        <v>193</v>
      </c>
      <c r="K296" t="s">
        <v>193</v>
      </c>
      <c r="L296" t="s">
        <v>193</v>
      </c>
      <c r="M296" t="s">
        <v>193</v>
      </c>
      <c r="N296" t="s">
        <v>193</v>
      </c>
      <c r="O296" t="s">
        <v>193</v>
      </c>
      <c r="P296" t="s">
        <v>193</v>
      </c>
    </row>
    <row r="297" spans="1:16" ht="12.75">
      <c r="A297" s="62" t="str">
        <f t="shared" si="4"/>
        <v>China_Public spending on education, total (% of government expenditure)</v>
      </c>
      <c r="B297" t="s">
        <v>458</v>
      </c>
      <c r="C297" t="s">
        <v>459</v>
      </c>
      <c r="D297" t="s">
        <v>422</v>
      </c>
      <c r="E297" t="s">
        <v>423</v>
      </c>
      <c r="F297" t="s">
        <v>193</v>
      </c>
      <c r="G297" t="s">
        <v>193</v>
      </c>
      <c r="H297" t="s">
        <v>193</v>
      </c>
      <c r="I297">
        <v>12.9658415777768</v>
      </c>
      <c r="J297" t="s">
        <v>193</v>
      </c>
      <c r="K297" t="s">
        <v>193</v>
      </c>
      <c r="L297" t="s">
        <v>193</v>
      </c>
      <c r="M297" t="s">
        <v>193</v>
      </c>
      <c r="N297" t="s">
        <v>193</v>
      </c>
      <c r="O297" t="s">
        <v>193</v>
      </c>
      <c r="P297" t="s">
        <v>193</v>
      </c>
    </row>
    <row r="298" spans="1:16" ht="12.75">
      <c r="A298" s="62" t="str">
        <f t="shared" si="4"/>
        <v>China_Health expenditure, public (% of total health expenditure)</v>
      </c>
      <c r="B298" t="s">
        <v>458</v>
      </c>
      <c r="C298" t="s">
        <v>459</v>
      </c>
      <c r="D298" t="s">
        <v>424</v>
      </c>
      <c r="E298" t="s">
        <v>425</v>
      </c>
      <c r="F298" t="s">
        <v>193</v>
      </c>
      <c r="G298" t="s">
        <v>193</v>
      </c>
      <c r="H298" t="s">
        <v>193</v>
      </c>
      <c r="I298" t="s">
        <v>193</v>
      </c>
      <c r="J298">
        <v>38.3</v>
      </c>
      <c r="K298">
        <v>35.6</v>
      </c>
      <c r="L298">
        <v>35.8</v>
      </c>
      <c r="M298">
        <v>36.2</v>
      </c>
      <c r="N298">
        <v>38</v>
      </c>
      <c r="O298" t="s">
        <v>193</v>
      </c>
      <c r="P298" t="s">
        <v>193</v>
      </c>
    </row>
    <row r="299" spans="1:16" ht="12.75">
      <c r="A299" s="62" t="str">
        <f t="shared" si="4"/>
        <v>China_Health expenditure, public (% of GDP)</v>
      </c>
      <c r="B299" t="s">
        <v>458</v>
      </c>
      <c r="C299" t="s">
        <v>459</v>
      </c>
      <c r="D299" t="s">
        <v>426</v>
      </c>
      <c r="E299" t="s">
        <v>427</v>
      </c>
      <c r="F299" t="s">
        <v>193</v>
      </c>
      <c r="G299" t="s">
        <v>193</v>
      </c>
      <c r="H299" t="s">
        <v>193</v>
      </c>
      <c r="I299" t="s">
        <v>193</v>
      </c>
      <c r="J299">
        <v>1.7618</v>
      </c>
      <c r="K299">
        <v>1.6376</v>
      </c>
      <c r="L299">
        <v>1.7184</v>
      </c>
      <c r="M299">
        <v>1.7376</v>
      </c>
      <c r="N299">
        <v>1.786</v>
      </c>
      <c r="O299" t="s">
        <v>193</v>
      </c>
      <c r="P299" t="s">
        <v>193</v>
      </c>
    </row>
    <row r="300" spans="1:16" ht="12.75">
      <c r="A300" s="62" t="str">
        <f t="shared" si="4"/>
        <v>China_Health expenditure, total (% of GDP)</v>
      </c>
      <c r="B300" t="s">
        <v>458</v>
      </c>
      <c r="C300" t="s">
        <v>459</v>
      </c>
      <c r="D300" t="s">
        <v>428</v>
      </c>
      <c r="E300" t="s">
        <v>429</v>
      </c>
      <c r="F300" t="s">
        <v>193</v>
      </c>
      <c r="G300" t="s">
        <v>193</v>
      </c>
      <c r="H300" t="s">
        <v>193</v>
      </c>
      <c r="I300" t="s">
        <v>193</v>
      </c>
      <c r="J300">
        <v>4.6</v>
      </c>
      <c r="K300">
        <v>4.6</v>
      </c>
      <c r="L300">
        <v>4.8</v>
      </c>
      <c r="M300">
        <v>4.8</v>
      </c>
      <c r="N300">
        <v>4.7</v>
      </c>
      <c r="O300" t="s">
        <v>193</v>
      </c>
      <c r="P300" t="s">
        <v>193</v>
      </c>
    </row>
    <row r="301" spans="1:16" ht="12.75">
      <c r="A301" s="62" t="str">
        <f t="shared" si="4"/>
        <v>China_GDP (current LCU)</v>
      </c>
      <c r="B301" t="s">
        <v>458</v>
      </c>
      <c r="C301" t="s">
        <v>459</v>
      </c>
      <c r="D301" t="s">
        <v>430</v>
      </c>
      <c r="E301" t="s">
        <v>431</v>
      </c>
      <c r="F301">
        <v>7117699809280</v>
      </c>
      <c r="G301">
        <v>7897299812352</v>
      </c>
      <c r="H301">
        <v>8440200036352</v>
      </c>
      <c r="I301">
        <v>8967699824640</v>
      </c>
      <c r="J301">
        <v>9921500282880</v>
      </c>
      <c r="K301">
        <v>10965500297216</v>
      </c>
      <c r="L301">
        <v>12033299841024</v>
      </c>
      <c r="M301">
        <v>13582300348416</v>
      </c>
      <c r="N301">
        <v>15987799752704</v>
      </c>
      <c r="O301">
        <v>18386799034368</v>
      </c>
      <c r="P301">
        <v>20940700254208</v>
      </c>
    </row>
    <row r="302" spans="1:16" ht="12.75">
      <c r="A302" s="62" t="str">
        <f t="shared" si="4"/>
        <v>China_GDP (current US$)</v>
      </c>
      <c r="B302" t="s">
        <v>458</v>
      </c>
      <c r="C302" t="s">
        <v>459</v>
      </c>
      <c r="D302" t="s">
        <v>432</v>
      </c>
      <c r="E302" t="s">
        <v>433</v>
      </c>
      <c r="F302">
        <v>856089559040</v>
      </c>
      <c r="G302">
        <v>952652660736</v>
      </c>
      <c r="H302">
        <v>1019458617344</v>
      </c>
      <c r="I302">
        <v>1083277901824</v>
      </c>
      <c r="J302">
        <v>1198480293888</v>
      </c>
      <c r="K302">
        <v>1324804866048</v>
      </c>
      <c r="L302">
        <v>1453831356416</v>
      </c>
      <c r="M302">
        <v>1640961671168</v>
      </c>
      <c r="N302">
        <v>1931710300160</v>
      </c>
      <c r="O302">
        <v>2243852500992</v>
      </c>
      <c r="P302">
        <v>2668071223296</v>
      </c>
    </row>
    <row r="303" spans="1:16" ht="12.75">
      <c r="A303" s="62" t="str">
        <f t="shared" si="4"/>
        <v>China_GDP per capita, PPP (current international $)</v>
      </c>
      <c r="B303" t="s">
        <v>458</v>
      </c>
      <c r="C303" t="s">
        <v>459</v>
      </c>
      <c r="D303" t="s">
        <v>434</v>
      </c>
      <c r="E303" t="s">
        <v>435</v>
      </c>
      <c r="F303">
        <v>2790.29878414471</v>
      </c>
      <c r="G303">
        <v>3069.16637983761</v>
      </c>
      <c r="H303">
        <v>3313.37405629129</v>
      </c>
      <c r="I303">
        <v>3582.66543144585</v>
      </c>
      <c r="J303">
        <v>3940.26397022818</v>
      </c>
      <c r="K303">
        <v>4338.46883501769</v>
      </c>
      <c r="L303">
        <v>4783.94419301009</v>
      </c>
      <c r="M303">
        <v>5336.0992254823</v>
      </c>
      <c r="N303">
        <v>5993.12102975092</v>
      </c>
      <c r="O303">
        <v>6760.12793770572</v>
      </c>
      <c r="P303">
        <v>7659.73778718011</v>
      </c>
    </row>
    <row r="304" spans="1:16" ht="12.75">
      <c r="A304" s="62" t="str">
        <f t="shared" si="4"/>
        <v>China_GDP per capita, PPP (constant 2000 international $)</v>
      </c>
      <c r="B304" t="s">
        <v>458</v>
      </c>
      <c r="C304" t="s">
        <v>459</v>
      </c>
      <c r="D304" t="s">
        <v>436</v>
      </c>
      <c r="E304" t="s">
        <v>437</v>
      </c>
      <c r="F304">
        <v>2973.3039324423</v>
      </c>
      <c r="G304">
        <v>3216.73064119179</v>
      </c>
      <c r="H304">
        <v>3434.52087731116</v>
      </c>
      <c r="I304">
        <v>3660.76235481432</v>
      </c>
      <c r="J304">
        <v>3940.26397022818</v>
      </c>
      <c r="K304">
        <v>4236.42157676421</v>
      </c>
      <c r="L304">
        <v>4591.07247397754</v>
      </c>
      <c r="M304">
        <v>5018.82179946228</v>
      </c>
      <c r="N304">
        <v>5492.65118111894</v>
      </c>
      <c r="O304">
        <v>6014.19216436884</v>
      </c>
      <c r="P304">
        <v>6620.67337514487</v>
      </c>
    </row>
    <row r="305" spans="1:16" ht="12.75">
      <c r="A305" s="62" t="str">
        <f t="shared" si="4"/>
        <v>China_GINI index</v>
      </c>
      <c r="B305" t="s">
        <v>458</v>
      </c>
      <c r="C305" t="s">
        <v>459</v>
      </c>
      <c r="D305" t="s">
        <v>438</v>
      </c>
      <c r="E305" t="s">
        <v>439</v>
      </c>
      <c r="F305" t="s">
        <v>193</v>
      </c>
      <c r="G305" t="s">
        <v>193</v>
      </c>
      <c r="H305" t="s">
        <v>193</v>
      </c>
      <c r="I305" t="s">
        <v>193</v>
      </c>
      <c r="J305" t="s">
        <v>193</v>
      </c>
      <c r="K305" t="s">
        <v>193</v>
      </c>
      <c r="L305" t="s">
        <v>193</v>
      </c>
      <c r="M305" t="s">
        <v>193</v>
      </c>
      <c r="N305">
        <v>46.9</v>
      </c>
      <c r="O305" t="s">
        <v>193</v>
      </c>
      <c r="P305" t="s">
        <v>193</v>
      </c>
    </row>
    <row r="306" spans="1:16" ht="12.75">
      <c r="A306" s="62" t="str">
        <f t="shared" si="4"/>
        <v>Costa Rica_Poverty headcount ratio at national poverty line (% of population)</v>
      </c>
      <c r="B306" t="s">
        <v>460</v>
      </c>
      <c r="C306" t="s">
        <v>242</v>
      </c>
      <c r="D306" t="s">
        <v>408</v>
      </c>
      <c r="E306" t="s">
        <v>409</v>
      </c>
      <c r="F306" t="s">
        <v>193</v>
      </c>
      <c r="G306" t="s">
        <v>193</v>
      </c>
      <c r="H306" t="s">
        <v>193</v>
      </c>
      <c r="I306" t="s">
        <v>193</v>
      </c>
      <c r="J306" t="s">
        <v>193</v>
      </c>
      <c r="K306" t="s">
        <v>193</v>
      </c>
      <c r="L306" t="s">
        <v>193</v>
      </c>
      <c r="M306" t="s">
        <v>193</v>
      </c>
      <c r="N306" t="s">
        <v>193</v>
      </c>
      <c r="O306" t="s">
        <v>193</v>
      </c>
      <c r="P306" t="s">
        <v>193</v>
      </c>
    </row>
    <row r="307" spans="1:16" ht="12.75">
      <c r="A307" s="62" t="str">
        <f aca="true" t="shared" si="5" ref="A307:A370">C307&amp;"_"&amp;E307</f>
        <v>Costa Rica_Poverty headcount ratio at $2 a day (PPP) (% of population)</v>
      </c>
      <c r="B307" t="s">
        <v>460</v>
      </c>
      <c r="C307" t="s">
        <v>242</v>
      </c>
      <c r="D307" t="s">
        <v>410</v>
      </c>
      <c r="E307" t="s">
        <v>411</v>
      </c>
      <c r="F307">
        <v>13.3</v>
      </c>
      <c r="G307" t="s">
        <v>193</v>
      </c>
      <c r="H307">
        <v>9.08</v>
      </c>
      <c r="I307" t="s">
        <v>193</v>
      </c>
      <c r="J307">
        <v>9.45</v>
      </c>
      <c r="K307">
        <v>8.18</v>
      </c>
      <c r="L307" t="s">
        <v>193</v>
      </c>
      <c r="M307">
        <v>9.829</v>
      </c>
      <c r="N307" t="s">
        <v>193</v>
      </c>
      <c r="O307" t="s">
        <v>193</v>
      </c>
      <c r="P307" t="s">
        <v>193</v>
      </c>
    </row>
    <row r="308" spans="1:16" ht="12.75">
      <c r="A308" s="62" t="str">
        <f t="shared" si="5"/>
        <v>Costa Rica_Poverty headcount ratio at $1 a day (PPP) (% of population)</v>
      </c>
      <c r="B308" t="s">
        <v>460</v>
      </c>
      <c r="C308" t="s">
        <v>242</v>
      </c>
      <c r="D308" t="s">
        <v>412</v>
      </c>
      <c r="E308" t="s">
        <v>413</v>
      </c>
      <c r="F308">
        <v>3.57</v>
      </c>
      <c r="G308" t="s">
        <v>193</v>
      </c>
      <c r="H308">
        <v>2</v>
      </c>
      <c r="I308" t="s">
        <v>193</v>
      </c>
      <c r="J308">
        <v>2.01</v>
      </c>
      <c r="K308">
        <v>2</v>
      </c>
      <c r="L308" t="s">
        <v>193</v>
      </c>
      <c r="M308">
        <v>3.33</v>
      </c>
      <c r="N308" t="s">
        <v>193</v>
      </c>
      <c r="O308" t="s">
        <v>193</v>
      </c>
      <c r="P308" t="s">
        <v>193</v>
      </c>
    </row>
    <row r="309" spans="1:16" ht="12.75">
      <c r="A309" s="62" t="str">
        <f t="shared" si="5"/>
        <v>Costa Rica_Poverty gap at $1 a day (PPP) (%)</v>
      </c>
      <c r="B309" t="s">
        <v>460</v>
      </c>
      <c r="C309" t="s">
        <v>242</v>
      </c>
      <c r="D309" t="s">
        <v>414</v>
      </c>
      <c r="E309" t="s">
        <v>415</v>
      </c>
      <c r="F309">
        <v>1.09</v>
      </c>
      <c r="G309" t="s">
        <v>193</v>
      </c>
      <c r="H309">
        <v>0.5</v>
      </c>
      <c r="I309" t="s">
        <v>193</v>
      </c>
      <c r="J309">
        <v>0.66</v>
      </c>
      <c r="K309">
        <v>0.5</v>
      </c>
      <c r="L309" t="s">
        <v>193</v>
      </c>
      <c r="M309">
        <v>1.59</v>
      </c>
      <c r="N309" t="s">
        <v>193</v>
      </c>
      <c r="O309" t="s">
        <v>193</v>
      </c>
      <c r="P309" t="s">
        <v>193</v>
      </c>
    </row>
    <row r="310" spans="1:16" ht="12.75">
      <c r="A310" s="62" t="str">
        <f t="shared" si="5"/>
        <v>Costa Rica_Poverty gap at $2 a day (PPP) (%)</v>
      </c>
      <c r="B310" t="s">
        <v>460</v>
      </c>
      <c r="C310" t="s">
        <v>242</v>
      </c>
      <c r="D310" t="s">
        <v>416</v>
      </c>
      <c r="E310" t="s">
        <v>417</v>
      </c>
      <c r="F310">
        <v>4.67</v>
      </c>
      <c r="G310" t="s">
        <v>193</v>
      </c>
      <c r="H310">
        <v>2.64</v>
      </c>
      <c r="I310" t="s">
        <v>193</v>
      </c>
      <c r="J310">
        <v>3.03</v>
      </c>
      <c r="K310">
        <v>2.4</v>
      </c>
      <c r="L310" t="s">
        <v>193</v>
      </c>
      <c r="M310">
        <v>4.003</v>
      </c>
      <c r="N310" t="s">
        <v>193</v>
      </c>
      <c r="O310" t="s">
        <v>193</v>
      </c>
      <c r="P310" t="s">
        <v>193</v>
      </c>
    </row>
    <row r="311" spans="1:16" ht="12.75">
      <c r="A311" s="62" t="str">
        <f t="shared" si="5"/>
        <v>Costa Rica_Population, total</v>
      </c>
      <c r="B311" t="s">
        <v>460</v>
      </c>
      <c r="C311" t="s">
        <v>242</v>
      </c>
      <c r="D311" t="s">
        <v>418</v>
      </c>
      <c r="E311" t="s">
        <v>419</v>
      </c>
      <c r="F311">
        <v>3563419</v>
      </c>
      <c r="G311">
        <v>3654997</v>
      </c>
      <c r="H311">
        <v>3747907</v>
      </c>
      <c r="I311">
        <v>3839769</v>
      </c>
      <c r="J311">
        <v>3928797</v>
      </c>
      <c r="K311">
        <v>4014435</v>
      </c>
      <c r="L311">
        <v>4096943</v>
      </c>
      <c r="M311">
        <v>4176372</v>
      </c>
      <c r="N311">
        <v>4253037</v>
      </c>
      <c r="O311">
        <v>4327228</v>
      </c>
      <c r="P311">
        <v>4387859.34290403</v>
      </c>
    </row>
    <row r="312" spans="1:16" ht="12.75">
      <c r="A312" s="62" t="str">
        <f t="shared" si="5"/>
        <v>Costa Rica_Public spending on education, total (% of GDP)</v>
      </c>
      <c r="B312" t="s">
        <v>460</v>
      </c>
      <c r="C312" t="s">
        <v>242</v>
      </c>
      <c r="D312" t="s">
        <v>420</v>
      </c>
      <c r="E312" t="s">
        <v>421</v>
      </c>
      <c r="F312" t="s">
        <v>193</v>
      </c>
      <c r="G312" t="s">
        <v>193</v>
      </c>
      <c r="H312" t="s">
        <v>193</v>
      </c>
      <c r="I312">
        <v>4.86788145336188</v>
      </c>
      <c r="J312">
        <v>4.39397922128579</v>
      </c>
      <c r="K312">
        <v>4.70617321860207</v>
      </c>
      <c r="L312">
        <v>5.07095769963327</v>
      </c>
      <c r="M312">
        <v>5.07095634641074</v>
      </c>
      <c r="N312">
        <v>4.9211853424862</v>
      </c>
      <c r="O312" t="s">
        <v>193</v>
      </c>
      <c r="P312" t="s">
        <v>193</v>
      </c>
    </row>
    <row r="313" spans="1:16" ht="12.75">
      <c r="A313" s="62" t="str">
        <f t="shared" si="5"/>
        <v>Costa Rica_Public spending on education, total (% of government expenditure)</v>
      </c>
      <c r="B313" t="s">
        <v>460</v>
      </c>
      <c r="C313" t="s">
        <v>242</v>
      </c>
      <c r="D313" t="s">
        <v>422</v>
      </c>
      <c r="E313" t="s">
        <v>423</v>
      </c>
      <c r="F313" t="s">
        <v>193</v>
      </c>
      <c r="G313" t="s">
        <v>193</v>
      </c>
      <c r="H313" t="s">
        <v>193</v>
      </c>
      <c r="I313" t="s">
        <v>193</v>
      </c>
      <c r="J313" t="s">
        <v>193</v>
      </c>
      <c r="K313">
        <v>21.1415200003331</v>
      </c>
      <c r="L313">
        <v>22.4142823897265</v>
      </c>
      <c r="M313" t="s">
        <v>193</v>
      </c>
      <c r="N313">
        <v>18.5334165321351</v>
      </c>
      <c r="O313" t="s">
        <v>193</v>
      </c>
      <c r="P313" t="s">
        <v>193</v>
      </c>
    </row>
    <row r="314" spans="1:16" ht="12.75">
      <c r="A314" s="62" t="str">
        <f t="shared" si="5"/>
        <v>Costa Rica_Health expenditure, public (% of total health expenditure)</v>
      </c>
      <c r="B314" t="s">
        <v>460</v>
      </c>
      <c r="C314" t="s">
        <v>242</v>
      </c>
      <c r="D314" t="s">
        <v>424</v>
      </c>
      <c r="E314" t="s">
        <v>425</v>
      </c>
      <c r="F314" t="s">
        <v>193</v>
      </c>
      <c r="G314" t="s">
        <v>193</v>
      </c>
      <c r="H314" t="s">
        <v>193</v>
      </c>
      <c r="I314" t="s">
        <v>193</v>
      </c>
      <c r="J314">
        <v>77.2</v>
      </c>
      <c r="K314">
        <v>76.9</v>
      </c>
      <c r="L314">
        <v>78.1</v>
      </c>
      <c r="M314">
        <v>78.8</v>
      </c>
      <c r="N314">
        <v>77</v>
      </c>
      <c r="O314" t="s">
        <v>193</v>
      </c>
      <c r="P314" t="s">
        <v>193</v>
      </c>
    </row>
    <row r="315" spans="1:16" ht="12.75">
      <c r="A315" s="62" t="str">
        <f t="shared" si="5"/>
        <v>Costa Rica_Health expenditure, public (% of GDP)</v>
      </c>
      <c r="B315" t="s">
        <v>460</v>
      </c>
      <c r="C315" t="s">
        <v>242</v>
      </c>
      <c r="D315" t="s">
        <v>426</v>
      </c>
      <c r="E315" t="s">
        <v>427</v>
      </c>
      <c r="F315" t="s">
        <v>193</v>
      </c>
      <c r="G315" t="s">
        <v>193</v>
      </c>
      <c r="H315" t="s">
        <v>193</v>
      </c>
      <c r="I315" t="s">
        <v>193</v>
      </c>
      <c r="J315">
        <v>5.018</v>
      </c>
      <c r="K315">
        <v>5.383</v>
      </c>
      <c r="L315">
        <v>5.7013</v>
      </c>
      <c r="M315">
        <v>5.7524</v>
      </c>
      <c r="N315">
        <v>5.082</v>
      </c>
      <c r="O315" t="s">
        <v>193</v>
      </c>
      <c r="P315" t="s">
        <v>193</v>
      </c>
    </row>
    <row r="316" spans="1:16" ht="12.75">
      <c r="A316" s="62" t="str">
        <f t="shared" si="5"/>
        <v>Costa Rica_Health expenditure, total (% of GDP)</v>
      </c>
      <c r="B316" t="s">
        <v>460</v>
      </c>
      <c r="C316" t="s">
        <v>242</v>
      </c>
      <c r="D316" t="s">
        <v>428</v>
      </c>
      <c r="E316" t="s">
        <v>429</v>
      </c>
      <c r="F316" t="s">
        <v>193</v>
      </c>
      <c r="G316" t="s">
        <v>193</v>
      </c>
      <c r="H316" t="s">
        <v>193</v>
      </c>
      <c r="I316" t="s">
        <v>193</v>
      </c>
      <c r="J316">
        <v>6.5</v>
      </c>
      <c r="K316">
        <v>7</v>
      </c>
      <c r="L316">
        <v>7.3</v>
      </c>
      <c r="M316">
        <v>7.3</v>
      </c>
      <c r="N316">
        <v>6.6</v>
      </c>
      <c r="O316" t="s">
        <v>193</v>
      </c>
      <c r="P316" t="s">
        <v>193</v>
      </c>
    </row>
    <row r="317" spans="1:16" ht="12.75">
      <c r="A317" s="62" t="str">
        <f t="shared" si="5"/>
        <v>Costa Rica_GDP (current LCU)</v>
      </c>
      <c r="B317" t="s">
        <v>460</v>
      </c>
      <c r="C317" t="s">
        <v>242</v>
      </c>
      <c r="D317" t="s">
        <v>430</v>
      </c>
      <c r="E317" t="s">
        <v>431</v>
      </c>
      <c r="F317">
        <v>2459956936704</v>
      </c>
      <c r="G317">
        <v>2984019755008</v>
      </c>
      <c r="H317">
        <v>3625329885184</v>
      </c>
      <c r="I317">
        <v>4512763346944</v>
      </c>
      <c r="J317">
        <v>4914497978368</v>
      </c>
      <c r="K317">
        <v>5394595315712</v>
      </c>
      <c r="L317">
        <v>6060878331904</v>
      </c>
      <c r="M317">
        <v>6982287753216</v>
      </c>
      <c r="N317">
        <v>8142428045312</v>
      </c>
      <c r="O317">
        <v>9542858440704</v>
      </c>
      <c r="P317">
        <v>11322818297856</v>
      </c>
    </row>
    <row r="318" spans="1:16" ht="12.75">
      <c r="A318" s="62" t="str">
        <f t="shared" si="5"/>
        <v>Costa Rica_GDP (current US$)</v>
      </c>
      <c r="B318" t="s">
        <v>460</v>
      </c>
      <c r="C318" t="s">
        <v>242</v>
      </c>
      <c r="D318" t="s">
        <v>432</v>
      </c>
      <c r="E318" t="s">
        <v>433</v>
      </c>
      <c r="F318">
        <v>11843228672</v>
      </c>
      <c r="G318">
        <v>12828976128</v>
      </c>
      <c r="H318">
        <v>14095921152</v>
      </c>
      <c r="I318">
        <v>15796567040</v>
      </c>
      <c r="J318">
        <v>15946497024</v>
      </c>
      <c r="K318">
        <v>16403388416</v>
      </c>
      <c r="L318">
        <v>16844311552</v>
      </c>
      <c r="M318">
        <v>17514295296</v>
      </c>
      <c r="N318">
        <v>18592778240</v>
      </c>
      <c r="O318">
        <v>19973050368</v>
      </c>
      <c r="P318">
        <v>22145079296</v>
      </c>
    </row>
    <row r="319" spans="1:16" ht="12.75">
      <c r="A319" s="62" t="str">
        <f t="shared" si="5"/>
        <v>Costa Rica_GDP per capita, PPP (current international $)</v>
      </c>
      <c r="B319" t="s">
        <v>460</v>
      </c>
      <c r="C319" t="s">
        <v>242</v>
      </c>
      <c r="D319" t="s">
        <v>434</v>
      </c>
      <c r="E319" t="s">
        <v>435</v>
      </c>
      <c r="F319">
        <v>6704.37597473555</v>
      </c>
      <c r="G319">
        <v>7016.27766535428</v>
      </c>
      <c r="H319">
        <v>7499.36011014537</v>
      </c>
      <c r="I319">
        <v>8036.27248996129</v>
      </c>
      <c r="J319">
        <v>8169.8086593344</v>
      </c>
      <c r="K319">
        <v>8276.43073977319</v>
      </c>
      <c r="L319">
        <v>8490.3965700899</v>
      </c>
      <c r="M319">
        <v>9042.46725450031</v>
      </c>
      <c r="N319">
        <v>9503.88108931627</v>
      </c>
      <c r="O319">
        <v>10191.5346040296</v>
      </c>
      <c r="P319">
        <v>11160.4359755647</v>
      </c>
    </row>
    <row r="320" spans="1:16" ht="12.75">
      <c r="A320" s="62" t="str">
        <f t="shared" si="5"/>
        <v>Costa Rica_GDP per capita, PPP (constant 2000 international $)</v>
      </c>
      <c r="B320" t="s">
        <v>460</v>
      </c>
      <c r="C320" t="s">
        <v>242</v>
      </c>
      <c r="D320" t="s">
        <v>436</v>
      </c>
      <c r="E320" t="s">
        <v>437</v>
      </c>
      <c r="F320">
        <v>7144.09064847267</v>
      </c>
      <c r="G320">
        <v>7353.61741921884</v>
      </c>
      <c r="H320">
        <v>7773.55904500521</v>
      </c>
      <c r="I320">
        <v>8211.45160417831</v>
      </c>
      <c r="J320">
        <v>8169.8086593344</v>
      </c>
      <c r="K320">
        <v>8081.75674366155</v>
      </c>
      <c r="L320">
        <v>8148.09379320257</v>
      </c>
      <c r="M320">
        <v>8504.81407112667</v>
      </c>
      <c r="N320">
        <v>8710.23685844311</v>
      </c>
      <c r="O320">
        <v>9066.96561415234</v>
      </c>
      <c r="P320">
        <v>9646.49226532237</v>
      </c>
    </row>
    <row r="321" spans="1:16" ht="12.75">
      <c r="A321" s="62" t="str">
        <f t="shared" si="5"/>
        <v>Costa Rica_GINI index</v>
      </c>
      <c r="B321" t="s">
        <v>460</v>
      </c>
      <c r="C321" t="s">
        <v>242</v>
      </c>
      <c r="D321" t="s">
        <v>438</v>
      </c>
      <c r="E321" t="s">
        <v>439</v>
      </c>
      <c r="F321">
        <v>47.08</v>
      </c>
      <c r="G321" t="s">
        <v>193</v>
      </c>
      <c r="H321">
        <v>48.13</v>
      </c>
      <c r="I321" t="s">
        <v>193</v>
      </c>
      <c r="J321">
        <v>46.6</v>
      </c>
      <c r="K321">
        <v>49.96</v>
      </c>
      <c r="L321" t="s">
        <v>193</v>
      </c>
      <c r="M321">
        <v>49.755</v>
      </c>
      <c r="N321" t="s">
        <v>193</v>
      </c>
      <c r="O321" t="s">
        <v>193</v>
      </c>
      <c r="P321" t="s">
        <v>193</v>
      </c>
    </row>
    <row r="322" spans="1:16" ht="12.75">
      <c r="A322" s="62" t="str">
        <f t="shared" si="5"/>
        <v>Croatia_Poverty headcount ratio at national poverty line (% of population)</v>
      </c>
      <c r="B322" t="s">
        <v>461</v>
      </c>
      <c r="C322" t="s">
        <v>209</v>
      </c>
      <c r="D322" t="s">
        <v>408</v>
      </c>
      <c r="E322" t="s">
        <v>409</v>
      </c>
      <c r="F322" t="s">
        <v>193</v>
      </c>
      <c r="G322" t="s">
        <v>193</v>
      </c>
      <c r="H322" t="s">
        <v>193</v>
      </c>
      <c r="I322" t="s">
        <v>193</v>
      </c>
      <c r="J322" t="s">
        <v>193</v>
      </c>
      <c r="K322" t="s">
        <v>193</v>
      </c>
      <c r="L322" t="s">
        <v>193</v>
      </c>
      <c r="M322" t="s">
        <v>193</v>
      </c>
      <c r="N322" t="s">
        <v>193</v>
      </c>
      <c r="O322" t="s">
        <v>193</v>
      </c>
      <c r="P322" t="s">
        <v>193</v>
      </c>
    </row>
    <row r="323" spans="1:16" ht="12.75">
      <c r="A323" s="62" t="str">
        <f t="shared" si="5"/>
        <v>Croatia_Poverty headcount ratio at $2 a day (PPP) (% of population)</v>
      </c>
      <c r="B323" t="s">
        <v>461</v>
      </c>
      <c r="C323" t="s">
        <v>209</v>
      </c>
      <c r="D323" t="s">
        <v>410</v>
      </c>
      <c r="E323" t="s">
        <v>411</v>
      </c>
      <c r="F323" t="s">
        <v>193</v>
      </c>
      <c r="G323" t="s">
        <v>193</v>
      </c>
      <c r="H323">
        <v>2</v>
      </c>
      <c r="I323">
        <v>2</v>
      </c>
      <c r="J323" t="s">
        <v>193</v>
      </c>
      <c r="K323">
        <v>2</v>
      </c>
      <c r="L323" t="s">
        <v>193</v>
      </c>
      <c r="M323" t="s">
        <v>193</v>
      </c>
      <c r="N323" t="s">
        <v>193</v>
      </c>
      <c r="O323" t="s">
        <v>193</v>
      </c>
      <c r="P323" t="s">
        <v>193</v>
      </c>
    </row>
    <row r="324" spans="1:16" ht="12.75">
      <c r="A324" s="62" t="str">
        <f t="shared" si="5"/>
        <v>Croatia_Poverty headcount ratio at $1 a day (PPP) (% of population)</v>
      </c>
      <c r="B324" t="s">
        <v>461</v>
      </c>
      <c r="C324" t="s">
        <v>209</v>
      </c>
      <c r="D324" t="s">
        <v>412</v>
      </c>
      <c r="E324" t="s">
        <v>413</v>
      </c>
      <c r="F324" t="s">
        <v>193</v>
      </c>
      <c r="G324" t="s">
        <v>193</v>
      </c>
      <c r="H324">
        <v>2</v>
      </c>
      <c r="I324">
        <v>2</v>
      </c>
      <c r="J324" t="s">
        <v>193</v>
      </c>
      <c r="K324">
        <v>2</v>
      </c>
      <c r="L324" t="s">
        <v>193</v>
      </c>
      <c r="M324" t="s">
        <v>193</v>
      </c>
      <c r="N324" t="s">
        <v>193</v>
      </c>
      <c r="O324" t="s">
        <v>193</v>
      </c>
      <c r="P324" t="s">
        <v>193</v>
      </c>
    </row>
    <row r="325" spans="1:16" ht="12.75">
      <c r="A325" s="62" t="str">
        <f t="shared" si="5"/>
        <v>Croatia_Poverty gap at $1 a day (PPP) (%)</v>
      </c>
      <c r="B325" t="s">
        <v>461</v>
      </c>
      <c r="C325" t="s">
        <v>209</v>
      </c>
      <c r="D325" t="s">
        <v>414</v>
      </c>
      <c r="E325" t="s">
        <v>415</v>
      </c>
      <c r="F325" t="s">
        <v>193</v>
      </c>
      <c r="G325" t="s">
        <v>193</v>
      </c>
      <c r="H325">
        <v>0.5</v>
      </c>
      <c r="I325">
        <v>0.5</v>
      </c>
      <c r="J325" t="s">
        <v>193</v>
      </c>
      <c r="K325">
        <v>0.5</v>
      </c>
      <c r="L325" t="s">
        <v>193</v>
      </c>
      <c r="M325" t="s">
        <v>193</v>
      </c>
      <c r="N325" t="s">
        <v>193</v>
      </c>
      <c r="O325" t="s">
        <v>193</v>
      </c>
      <c r="P325" t="s">
        <v>193</v>
      </c>
    </row>
    <row r="326" spans="1:16" ht="12.75">
      <c r="A326" s="62" t="str">
        <f t="shared" si="5"/>
        <v>Croatia_Poverty gap at $2 a day (PPP) (%)</v>
      </c>
      <c r="B326" t="s">
        <v>461</v>
      </c>
      <c r="C326" t="s">
        <v>209</v>
      </c>
      <c r="D326" t="s">
        <v>416</v>
      </c>
      <c r="E326" t="s">
        <v>417</v>
      </c>
      <c r="F326" t="s">
        <v>193</v>
      </c>
      <c r="G326" t="s">
        <v>193</v>
      </c>
      <c r="H326">
        <v>0.5</v>
      </c>
      <c r="I326">
        <v>0.5</v>
      </c>
      <c r="J326" t="s">
        <v>193</v>
      </c>
      <c r="K326">
        <v>0.5</v>
      </c>
      <c r="L326" t="s">
        <v>193</v>
      </c>
      <c r="M326" t="s">
        <v>193</v>
      </c>
      <c r="N326" t="s">
        <v>193</v>
      </c>
      <c r="O326" t="s">
        <v>193</v>
      </c>
      <c r="P326" t="s">
        <v>193</v>
      </c>
    </row>
    <row r="327" spans="1:16" ht="12.75">
      <c r="A327" s="62" t="str">
        <f t="shared" si="5"/>
        <v>Croatia_Population, total</v>
      </c>
      <c r="B327" t="s">
        <v>461</v>
      </c>
      <c r="C327" t="s">
        <v>209</v>
      </c>
      <c r="D327" t="s">
        <v>418</v>
      </c>
      <c r="E327" t="s">
        <v>419</v>
      </c>
      <c r="F327">
        <v>4490000</v>
      </c>
      <c r="G327">
        <v>4570000</v>
      </c>
      <c r="H327">
        <v>4500000</v>
      </c>
      <c r="I327">
        <v>4550000</v>
      </c>
      <c r="J327">
        <v>4502500</v>
      </c>
      <c r="K327">
        <v>4440800</v>
      </c>
      <c r="L327">
        <v>4443150</v>
      </c>
      <c r="M327">
        <v>4442000</v>
      </c>
      <c r="N327">
        <v>4442850</v>
      </c>
      <c r="O327">
        <v>4443350</v>
      </c>
      <c r="P327">
        <v>4437665.47378688</v>
      </c>
    </row>
    <row r="328" spans="1:16" ht="12.75">
      <c r="A328" s="62" t="str">
        <f t="shared" si="5"/>
        <v>Croatia_Public spending on education, total (% of GDP)</v>
      </c>
      <c r="B328" t="s">
        <v>461</v>
      </c>
      <c r="C328" t="s">
        <v>209</v>
      </c>
      <c r="D328" t="s">
        <v>420</v>
      </c>
      <c r="E328" t="s">
        <v>421</v>
      </c>
      <c r="F328" t="s">
        <v>193</v>
      </c>
      <c r="G328" t="s">
        <v>193</v>
      </c>
      <c r="H328" t="s">
        <v>193</v>
      </c>
      <c r="I328" t="s">
        <v>193</v>
      </c>
      <c r="J328" t="s">
        <v>193</v>
      </c>
      <c r="K328">
        <v>4.49476903620901</v>
      </c>
      <c r="L328">
        <v>4.49467013998535</v>
      </c>
      <c r="M328">
        <v>4.65512781966352</v>
      </c>
      <c r="N328" t="s">
        <v>193</v>
      </c>
      <c r="O328" t="s">
        <v>193</v>
      </c>
      <c r="P328" t="s">
        <v>193</v>
      </c>
    </row>
    <row r="329" spans="1:16" ht="12.75">
      <c r="A329" s="62" t="str">
        <f t="shared" si="5"/>
        <v>Croatia_Public spending on education, total (% of government expenditure)</v>
      </c>
      <c r="B329" t="s">
        <v>461</v>
      </c>
      <c r="C329" t="s">
        <v>209</v>
      </c>
      <c r="D329" t="s">
        <v>422</v>
      </c>
      <c r="E329" t="s">
        <v>423</v>
      </c>
      <c r="F329" t="s">
        <v>193</v>
      </c>
      <c r="G329" t="s">
        <v>193</v>
      </c>
      <c r="H329" t="s">
        <v>193</v>
      </c>
      <c r="I329" t="s">
        <v>193</v>
      </c>
      <c r="J329" t="s">
        <v>193</v>
      </c>
      <c r="K329" t="s">
        <v>193</v>
      </c>
      <c r="L329">
        <v>9.99488627550498</v>
      </c>
      <c r="M329">
        <v>9.99168881662057</v>
      </c>
      <c r="N329" t="s">
        <v>193</v>
      </c>
      <c r="O329" t="s">
        <v>193</v>
      </c>
      <c r="P329" t="s">
        <v>193</v>
      </c>
    </row>
    <row r="330" spans="1:16" ht="12.75">
      <c r="A330" s="62" t="str">
        <f t="shared" si="5"/>
        <v>Croatia_Health expenditure, public (% of total health expenditure)</v>
      </c>
      <c r="B330" t="s">
        <v>461</v>
      </c>
      <c r="C330" t="s">
        <v>209</v>
      </c>
      <c r="D330" t="s">
        <v>424</v>
      </c>
      <c r="E330" t="s">
        <v>425</v>
      </c>
      <c r="F330" t="s">
        <v>193</v>
      </c>
      <c r="G330" t="s">
        <v>193</v>
      </c>
      <c r="H330" t="s">
        <v>193</v>
      </c>
      <c r="I330" t="s">
        <v>193</v>
      </c>
      <c r="J330">
        <v>86.4</v>
      </c>
      <c r="K330">
        <v>81.6</v>
      </c>
      <c r="L330">
        <v>74.4</v>
      </c>
      <c r="M330">
        <v>81.7</v>
      </c>
      <c r="N330">
        <v>81</v>
      </c>
      <c r="O330" t="s">
        <v>193</v>
      </c>
      <c r="P330" t="s">
        <v>193</v>
      </c>
    </row>
    <row r="331" spans="1:16" ht="12.75">
      <c r="A331" s="62" t="str">
        <f t="shared" si="5"/>
        <v>Croatia_Health expenditure, public (% of GDP)</v>
      </c>
      <c r="B331" t="s">
        <v>461</v>
      </c>
      <c r="C331" t="s">
        <v>209</v>
      </c>
      <c r="D331" t="s">
        <v>426</v>
      </c>
      <c r="E331" t="s">
        <v>427</v>
      </c>
      <c r="F331" t="s">
        <v>193</v>
      </c>
      <c r="G331" t="s">
        <v>193</v>
      </c>
      <c r="H331" t="s">
        <v>193</v>
      </c>
      <c r="I331" t="s">
        <v>193</v>
      </c>
      <c r="J331">
        <v>7.776</v>
      </c>
      <c r="K331">
        <v>7.0176</v>
      </c>
      <c r="L331">
        <v>5.8032</v>
      </c>
      <c r="M331">
        <v>6.1275</v>
      </c>
      <c r="N331">
        <v>6.237</v>
      </c>
      <c r="O331">
        <v>6.1</v>
      </c>
      <c r="P331" t="s">
        <v>193</v>
      </c>
    </row>
    <row r="332" spans="1:16" ht="12.75">
      <c r="A332" s="62" t="str">
        <f t="shared" si="5"/>
        <v>Croatia_Health expenditure, total (% of GDP)</v>
      </c>
      <c r="B332" t="s">
        <v>461</v>
      </c>
      <c r="C332" t="s">
        <v>209</v>
      </c>
      <c r="D332" t="s">
        <v>428</v>
      </c>
      <c r="E332" t="s">
        <v>429</v>
      </c>
      <c r="F332" t="s">
        <v>193</v>
      </c>
      <c r="G332" t="s">
        <v>193</v>
      </c>
      <c r="H332" t="s">
        <v>193</v>
      </c>
      <c r="I332" t="s">
        <v>193</v>
      </c>
      <c r="J332">
        <v>9</v>
      </c>
      <c r="K332">
        <v>8.6</v>
      </c>
      <c r="L332">
        <v>7.8</v>
      </c>
      <c r="M332">
        <v>7.5</v>
      </c>
      <c r="N332">
        <v>7.7</v>
      </c>
      <c r="O332">
        <v>8</v>
      </c>
      <c r="P332" t="s">
        <v>193</v>
      </c>
    </row>
    <row r="333" spans="1:16" ht="12.75">
      <c r="A333" s="62" t="str">
        <f t="shared" si="5"/>
        <v>Croatia_GDP (current LCU)</v>
      </c>
      <c r="B333" t="s">
        <v>461</v>
      </c>
      <c r="C333" t="s">
        <v>209</v>
      </c>
      <c r="D333" t="s">
        <v>430</v>
      </c>
      <c r="E333" t="s">
        <v>431</v>
      </c>
      <c r="F333">
        <v>107980562432</v>
      </c>
      <c r="G333">
        <v>123810734080</v>
      </c>
      <c r="H333">
        <v>137603710976</v>
      </c>
      <c r="I333">
        <v>141579075584</v>
      </c>
      <c r="J333">
        <v>152518836224</v>
      </c>
      <c r="K333">
        <v>165638995968</v>
      </c>
      <c r="L333">
        <v>181230993408</v>
      </c>
      <c r="M333">
        <v>198422003712</v>
      </c>
      <c r="N333">
        <v>214983098368</v>
      </c>
      <c r="O333">
        <v>231352303616</v>
      </c>
      <c r="P333">
        <v>249000001536</v>
      </c>
    </row>
    <row r="334" spans="1:16" ht="12.75">
      <c r="A334" s="62" t="str">
        <f t="shared" si="5"/>
        <v>Croatia_GDP (current US$)</v>
      </c>
      <c r="B334" t="s">
        <v>461</v>
      </c>
      <c r="C334" t="s">
        <v>209</v>
      </c>
      <c r="D334" t="s">
        <v>432</v>
      </c>
      <c r="E334" t="s">
        <v>433</v>
      </c>
      <c r="F334">
        <v>19872016384</v>
      </c>
      <c r="G334">
        <v>20108775424</v>
      </c>
      <c r="H334">
        <v>21628008448</v>
      </c>
      <c r="I334">
        <v>19905835008</v>
      </c>
      <c r="J334">
        <v>18427228160</v>
      </c>
      <c r="K334">
        <v>19862996992</v>
      </c>
      <c r="L334">
        <v>23046494208</v>
      </c>
      <c r="M334">
        <v>29609080832</v>
      </c>
      <c r="N334">
        <v>35619803136</v>
      </c>
      <c r="O334">
        <v>38895816704</v>
      </c>
      <c r="P334">
        <v>42653421568</v>
      </c>
    </row>
    <row r="335" spans="1:16" ht="12.75">
      <c r="A335" s="62" t="str">
        <f t="shared" si="5"/>
        <v>Croatia_GDP per capita, PPP (current international $)</v>
      </c>
      <c r="B335" t="s">
        <v>461</v>
      </c>
      <c r="C335" t="s">
        <v>209</v>
      </c>
      <c r="D335" t="s">
        <v>434</v>
      </c>
      <c r="E335" t="s">
        <v>435</v>
      </c>
      <c r="F335">
        <v>7684.77361318691</v>
      </c>
      <c r="G335">
        <v>8198.356382114</v>
      </c>
      <c r="H335">
        <v>8628.85052909796</v>
      </c>
      <c r="I335">
        <v>8579.42345829571</v>
      </c>
      <c r="J335">
        <v>9115.83498187735</v>
      </c>
      <c r="K335">
        <v>9885.70549451733</v>
      </c>
      <c r="L335">
        <v>10614.2034202217</v>
      </c>
      <c r="M335">
        <v>11411.423258129</v>
      </c>
      <c r="N335">
        <v>12153.1791302633</v>
      </c>
      <c r="O335">
        <v>13054.7247420096</v>
      </c>
      <c r="P335">
        <v>14073.09056067</v>
      </c>
    </row>
    <row r="336" spans="1:16" ht="12.75">
      <c r="A336" s="62" t="str">
        <f t="shared" si="5"/>
        <v>Croatia_GDP per capita, PPP (constant 2000 international $)</v>
      </c>
      <c r="B336" t="s">
        <v>461</v>
      </c>
      <c r="C336" t="s">
        <v>209</v>
      </c>
      <c r="D336" t="s">
        <v>436</v>
      </c>
      <c r="E336" t="s">
        <v>437</v>
      </c>
      <c r="F336">
        <v>8188.788861556</v>
      </c>
      <c r="G336">
        <v>8592.52999609349</v>
      </c>
      <c r="H336">
        <v>8944.3469967156</v>
      </c>
      <c r="I336">
        <v>8766.44247784667</v>
      </c>
      <c r="J336">
        <v>9115.83498187735</v>
      </c>
      <c r="K336">
        <v>9653.1789557822</v>
      </c>
      <c r="L336">
        <v>10186.2762586109</v>
      </c>
      <c r="M336">
        <v>10732.9150734847</v>
      </c>
      <c r="N336">
        <v>11138.2989552215</v>
      </c>
      <c r="O336">
        <v>11614.2215021499</v>
      </c>
      <c r="P336">
        <v>12164.0372777476</v>
      </c>
    </row>
    <row r="337" spans="1:16" ht="12.75">
      <c r="A337" s="62" t="str">
        <f t="shared" si="5"/>
        <v>Croatia_GINI index</v>
      </c>
      <c r="B337" t="s">
        <v>461</v>
      </c>
      <c r="C337" t="s">
        <v>209</v>
      </c>
      <c r="D337" t="s">
        <v>438</v>
      </c>
      <c r="E337" t="s">
        <v>439</v>
      </c>
      <c r="F337" t="s">
        <v>193</v>
      </c>
      <c r="G337" t="s">
        <v>193</v>
      </c>
      <c r="H337">
        <v>26.82</v>
      </c>
      <c r="I337">
        <v>27.71</v>
      </c>
      <c r="J337" t="s">
        <v>193</v>
      </c>
      <c r="K337">
        <v>29</v>
      </c>
      <c r="L337" t="s">
        <v>193</v>
      </c>
      <c r="M337" t="s">
        <v>193</v>
      </c>
      <c r="N337" t="s">
        <v>193</v>
      </c>
      <c r="O337" t="s">
        <v>193</v>
      </c>
      <c r="P337" t="s">
        <v>193</v>
      </c>
    </row>
    <row r="338" spans="1:16" ht="12.75">
      <c r="A338" s="62" t="str">
        <f t="shared" si="5"/>
        <v>Czech Republic_Poverty headcount ratio at national poverty line (% of population)</v>
      </c>
      <c r="B338" t="s">
        <v>462</v>
      </c>
      <c r="C338" t="s">
        <v>210</v>
      </c>
      <c r="D338" t="s">
        <v>408</v>
      </c>
      <c r="E338" t="s">
        <v>409</v>
      </c>
      <c r="F338" t="s">
        <v>193</v>
      </c>
      <c r="G338" t="s">
        <v>193</v>
      </c>
      <c r="H338" t="s">
        <v>193</v>
      </c>
      <c r="I338" t="s">
        <v>193</v>
      </c>
      <c r="J338" t="s">
        <v>193</v>
      </c>
      <c r="K338" t="s">
        <v>193</v>
      </c>
      <c r="L338" t="s">
        <v>193</v>
      </c>
      <c r="M338" t="s">
        <v>193</v>
      </c>
      <c r="N338" t="s">
        <v>193</v>
      </c>
      <c r="O338" t="s">
        <v>193</v>
      </c>
      <c r="P338" t="s">
        <v>193</v>
      </c>
    </row>
    <row r="339" spans="1:16" ht="12.75">
      <c r="A339" s="62" t="str">
        <f t="shared" si="5"/>
        <v>Czech Republic_Poverty headcount ratio at $2 a day (PPP) (% of population)</v>
      </c>
      <c r="B339" t="s">
        <v>462</v>
      </c>
      <c r="C339" t="s">
        <v>210</v>
      </c>
      <c r="D339" t="s">
        <v>410</v>
      </c>
      <c r="E339" t="s">
        <v>411</v>
      </c>
      <c r="F339">
        <v>2</v>
      </c>
      <c r="G339" t="s">
        <v>193</v>
      </c>
      <c r="H339" t="s">
        <v>193</v>
      </c>
      <c r="I339" t="s">
        <v>193</v>
      </c>
      <c r="J339" t="s">
        <v>193</v>
      </c>
      <c r="K339" t="s">
        <v>193</v>
      </c>
      <c r="L339" t="s">
        <v>193</v>
      </c>
      <c r="M339" t="s">
        <v>193</v>
      </c>
      <c r="N339" t="s">
        <v>193</v>
      </c>
      <c r="O339" t="s">
        <v>193</v>
      </c>
      <c r="P339" t="s">
        <v>193</v>
      </c>
    </row>
    <row r="340" spans="1:16" ht="12.75">
      <c r="A340" s="62" t="str">
        <f t="shared" si="5"/>
        <v>Czech Republic_Poverty headcount ratio at $1 a day (PPP) (% of population)</v>
      </c>
      <c r="B340" t="s">
        <v>462</v>
      </c>
      <c r="C340" t="s">
        <v>210</v>
      </c>
      <c r="D340" t="s">
        <v>412</v>
      </c>
      <c r="E340" t="s">
        <v>413</v>
      </c>
      <c r="F340">
        <v>2</v>
      </c>
      <c r="G340" t="s">
        <v>193</v>
      </c>
      <c r="H340" t="s">
        <v>193</v>
      </c>
      <c r="I340" t="s">
        <v>193</v>
      </c>
      <c r="J340" t="s">
        <v>193</v>
      </c>
      <c r="K340" t="s">
        <v>193</v>
      </c>
      <c r="L340" t="s">
        <v>193</v>
      </c>
      <c r="M340" t="s">
        <v>193</v>
      </c>
      <c r="N340" t="s">
        <v>193</v>
      </c>
      <c r="O340" t="s">
        <v>193</v>
      </c>
      <c r="P340" t="s">
        <v>193</v>
      </c>
    </row>
    <row r="341" spans="1:16" ht="12.75">
      <c r="A341" s="62" t="str">
        <f t="shared" si="5"/>
        <v>Czech Republic_Poverty gap at $1 a day (PPP) (%)</v>
      </c>
      <c r="B341" t="s">
        <v>462</v>
      </c>
      <c r="C341" t="s">
        <v>210</v>
      </c>
      <c r="D341" t="s">
        <v>414</v>
      </c>
      <c r="E341" t="s">
        <v>415</v>
      </c>
      <c r="F341">
        <v>0.5</v>
      </c>
      <c r="G341" t="s">
        <v>193</v>
      </c>
      <c r="H341" t="s">
        <v>193</v>
      </c>
      <c r="I341" t="s">
        <v>193</v>
      </c>
      <c r="J341" t="s">
        <v>193</v>
      </c>
      <c r="K341" t="s">
        <v>193</v>
      </c>
      <c r="L341" t="s">
        <v>193</v>
      </c>
      <c r="M341" t="s">
        <v>193</v>
      </c>
      <c r="N341" t="s">
        <v>193</v>
      </c>
      <c r="O341" t="s">
        <v>193</v>
      </c>
      <c r="P341" t="s">
        <v>193</v>
      </c>
    </row>
    <row r="342" spans="1:16" ht="12.75">
      <c r="A342" s="62" t="str">
        <f t="shared" si="5"/>
        <v>Czech Republic_Poverty gap at $2 a day (PPP) (%)</v>
      </c>
      <c r="B342" t="s">
        <v>462</v>
      </c>
      <c r="C342" t="s">
        <v>210</v>
      </c>
      <c r="D342" t="s">
        <v>416</v>
      </c>
      <c r="E342" t="s">
        <v>417</v>
      </c>
      <c r="F342">
        <v>0.5</v>
      </c>
      <c r="G342" t="s">
        <v>193</v>
      </c>
      <c r="H342" t="s">
        <v>193</v>
      </c>
      <c r="I342" t="s">
        <v>193</v>
      </c>
      <c r="J342" t="s">
        <v>193</v>
      </c>
      <c r="K342" t="s">
        <v>193</v>
      </c>
      <c r="L342" t="s">
        <v>193</v>
      </c>
      <c r="M342" t="s">
        <v>193</v>
      </c>
      <c r="N342" t="s">
        <v>193</v>
      </c>
      <c r="O342" t="s">
        <v>193</v>
      </c>
      <c r="P342" t="s">
        <v>193</v>
      </c>
    </row>
    <row r="343" spans="1:16" ht="12.75">
      <c r="A343" s="62" t="str">
        <f t="shared" si="5"/>
        <v>Czech Republic_Population, total</v>
      </c>
      <c r="B343" t="s">
        <v>462</v>
      </c>
      <c r="C343" t="s">
        <v>210</v>
      </c>
      <c r="D343" t="s">
        <v>418</v>
      </c>
      <c r="E343" t="s">
        <v>419</v>
      </c>
      <c r="F343">
        <v>10315000</v>
      </c>
      <c r="G343">
        <v>10304100</v>
      </c>
      <c r="H343">
        <v>10294900</v>
      </c>
      <c r="I343">
        <v>10283000</v>
      </c>
      <c r="J343">
        <v>10273300</v>
      </c>
      <c r="K343">
        <v>10224000</v>
      </c>
      <c r="L343">
        <v>10201000</v>
      </c>
      <c r="M343">
        <v>10202000</v>
      </c>
      <c r="N343">
        <v>10206923</v>
      </c>
      <c r="O343">
        <v>10234092</v>
      </c>
      <c r="P343">
        <v>10218425.7096284</v>
      </c>
    </row>
    <row r="344" spans="1:16" ht="12.75">
      <c r="A344" s="62" t="str">
        <f t="shared" si="5"/>
        <v>Czech Republic_Public spending on education, total (% of GDP)</v>
      </c>
      <c r="B344" t="s">
        <v>462</v>
      </c>
      <c r="C344" t="s">
        <v>210</v>
      </c>
      <c r="D344" t="s">
        <v>420</v>
      </c>
      <c r="E344" t="s">
        <v>421</v>
      </c>
      <c r="F344" t="s">
        <v>193</v>
      </c>
      <c r="G344" t="s">
        <v>193</v>
      </c>
      <c r="H344" t="s">
        <v>193</v>
      </c>
      <c r="I344">
        <v>4.04774687177493</v>
      </c>
      <c r="J344">
        <v>4.04030954795436</v>
      </c>
      <c r="K344">
        <v>4.15826330590565</v>
      </c>
      <c r="L344">
        <v>4.41178491460079</v>
      </c>
      <c r="M344">
        <v>4.54848885947492</v>
      </c>
      <c r="N344">
        <v>4.44170431785191</v>
      </c>
      <c r="O344" t="s">
        <v>193</v>
      </c>
      <c r="P344" t="s">
        <v>193</v>
      </c>
    </row>
    <row r="345" spans="1:16" ht="12.75">
      <c r="A345" s="62" t="str">
        <f t="shared" si="5"/>
        <v>Czech Republic_Public spending on education, total (% of government expenditure)</v>
      </c>
      <c r="B345" t="s">
        <v>462</v>
      </c>
      <c r="C345" t="s">
        <v>210</v>
      </c>
      <c r="D345" t="s">
        <v>422</v>
      </c>
      <c r="E345" t="s">
        <v>423</v>
      </c>
      <c r="F345" t="s">
        <v>193</v>
      </c>
      <c r="G345" t="s">
        <v>193</v>
      </c>
      <c r="H345" t="s">
        <v>193</v>
      </c>
      <c r="I345">
        <v>9.69546208705978</v>
      </c>
      <c r="J345">
        <v>9.69551469857841</v>
      </c>
      <c r="K345">
        <v>9.55346750113868</v>
      </c>
      <c r="L345" t="s">
        <v>193</v>
      </c>
      <c r="M345">
        <v>9.53289045862216</v>
      </c>
      <c r="N345">
        <v>9.95339625971788</v>
      </c>
      <c r="O345" t="s">
        <v>193</v>
      </c>
      <c r="P345" t="s">
        <v>193</v>
      </c>
    </row>
    <row r="346" spans="1:16" ht="12.75">
      <c r="A346" s="62" t="str">
        <f t="shared" si="5"/>
        <v>Czech Republic_Health expenditure, public (% of total health expenditure)</v>
      </c>
      <c r="B346" t="s">
        <v>462</v>
      </c>
      <c r="C346" t="s">
        <v>210</v>
      </c>
      <c r="D346" t="s">
        <v>424</v>
      </c>
      <c r="E346" t="s">
        <v>425</v>
      </c>
      <c r="F346" t="s">
        <v>193</v>
      </c>
      <c r="G346" t="s">
        <v>193</v>
      </c>
      <c r="H346" t="s">
        <v>193</v>
      </c>
      <c r="I346" t="s">
        <v>193</v>
      </c>
      <c r="J346">
        <v>90.5</v>
      </c>
      <c r="K346">
        <v>89.9</v>
      </c>
      <c r="L346">
        <v>89.7</v>
      </c>
      <c r="M346">
        <v>89.8</v>
      </c>
      <c r="N346">
        <v>89.2</v>
      </c>
      <c r="O346" t="s">
        <v>193</v>
      </c>
      <c r="P346" t="s">
        <v>193</v>
      </c>
    </row>
    <row r="347" spans="1:16" ht="12.75">
      <c r="A347" s="62" t="str">
        <f t="shared" si="5"/>
        <v>Czech Republic_Health expenditure, public (% of GDP)</v>
      </c>
      <c r="B347" t="s">
        <v>462</v>
      </c>
      <c r="C347" t="s">
        <v>210</v>
      </c>
      <c r="D347" t="s">
        <v>426</v>
      </c>
      <c r="E347" t="s">
        <v>427</v>
      </c>
      <c r="F347" t="s">
        <v>193</v>
      </c>
      <c r="G347" t="s">
        <v>193</v>
      </c>
      <c r="H347" t="s">
        <v>193</v>
      </c>
      <c r="I347" t="s">
        <v>193</v>
      </c>
      <c r="J347">
        <v>5.973</v>
      </c>
      <c r="K347">
        <v>6.2031</v>
      </c>
      <c r="L347">
        <v>6.279</v>
      </c>
      <c r="M347">
        <v>6.6452</v>
      </c>
      <c r="N347">
        <v>6.5116</v>
      </c>
      <c r="O347" t="s">
        <v>193</v>
      </c>
      <c r="P347" t="s">
        <v>193</v>
      </c>
    </row>
    <row r="348" spans="1:16" ht="12.75">
      <c r="A348" s="62" t="str">
        <f t="shared" si="5"/>
        <v>Czech Republic_Health expenditure, total (% of GDP)</v>
      </c>
      <c r="B348" t="s">
        <v>462</v>
      </c>
      <c r="C348" t="s">
        <v>210</v>
      </c>
      <c r="D348" t="s">
        <v>428</v>
      </c>
      <c r="E348" t="s">
        <v>429</v>
      </c>
      <c r="F348" t="s">
        <v>193</v>
      </c>
      <c r="G348" t="s">
        <v>193</v>
      </c>
      <c r="H348" t="s">
        <v>193</v>
      </c>
      <c r="I348" t="s">
        <v>193</v>
      </c>
      <c r="J348">
        <v>6.6</v>
      </c>
      <c r="K348">
        <v>6.9</v>
      </c>
      <c r="L348">
        <v>7</v>
      </c>
      <c r="M348">
        <v>7.4</v>
      </c>
      <c r="N348">
        <v>7.3</v>
      </c>
      <c r="O348" t="s">
        <v>193</v>
      </c>
      <c r="P348" t="s">
        <v>193</v>
      </c>
    </row>
    <row r="349" spans="1:16" ht="12.75">
      <c r="A349" s="62" t="str">
        <f t="shared" si="5"/>
        <v>Czech Republic_GDP (current LCU)</v>
      </c>
      <c r="B349" t="s">
        <v>462</v>
      </c>
      <c r="C349" t="s">
        <v>210</v>
      </c>
      <c r="D349" t="s">
        <v>430</v>
      </c>
      <c r="E349" t="s">
        <v>431</v>
      </c>
      <c r="F349">
        <v>1683287965696</v>
      </c>
      <c r="G349">
        <v>1811094044672</v>
      </c>
      <c r="H349">
        <v>1996482936832</v>
      </c>
      <c r="I349">
        <v>2080796966912</v>
      </c>
      <c r="J349">
        <v>2189169000448</v>
      </c>
      <c r="K349">
        <v>2352213917696</v>
      </c>
      <c r="L349">
        <v>2464431996928</v>
      </c>
      <c r="M349">
        <v>2577109876736</v>
      </c>
      <c r="N349">
        <v>2781060005888</v>
      </c>
      <c r="O349">
        <v>2970261127168</v>
      </c>
      <c r="P349">
        <v>3204085972992</v>
      </c>
    </row>
    <row r="350" spans="1:16" ht="12.75">
      <c r="A350" s="62" t="str">
        <f t="shared" si="5"/>
        <v>Czech Republic_GDP (current US$)</v>
      </c>
      <c r="B350" t="s">
        <v>462</v>
      </c>
      <c r="C350" t="s">
        <v>210</v>
      </c>
      <c r="D350" t="s">
        <v>432</v>
      </c>
      <c r="E350" t="s">
        <v>433</v>
      </c>
      <c r="F350">
        <v>62010597376</v>
      </c>
      <c r="G350">
        <v>57134854144</v>
      </c>
      <c r="H350">
        <v>61846679552</v>
      </c>
      <c r="I350">
        <v>60192137216</v>
      </c>
      <c r="J350">
        <v>56720834560</v>
      </c>
      <c r="K350">
        <v>61842321408</v>
      </c>
      <c r="L350">
        <v>75276075008</v>
      </c>
      <c r="M350">
        <v>91357724672</v>
      </c>
      <c r="N350">
        <v>108213501952</v>
      </c>
      <c r="O350">
        <v>123980857344</v>
      </c>
      <c r="P350">
        <v>141801422848</v>
      </c>
    </row>
    <row r="351" spans="1:16" ht="12.75">
      <c r="A351" s="62" t="str">
        <f t="shared" si="5"/>
        <v>Czech Republic_GDP per capita, PPP (current international $)</v>
      </c>
      <c r="B351" t="s">
        <v>462</v>
      </c>
      <c r="C351" t="s">
        <v>210</v>
      </c>
      <c r="D351" t="s">
        <v>434</v>
      </c>
      <c r="E351" t="s">
        <v>435</v>
      </c>
      <c r="F351">
        <v>13955.256677469</v>
      </c>
      <c r="G351">
        <v>14099.5614215472</v>
      </c>
      <c r="H351">
        <v>14160.6526809674</v>
      </c>
      <c r="I351">
        <v>14574.5368469727</v>
      </c>
      <c r="J351">
        <v>15450.0676090718</v>
      </c>
      <c r="K351">
        <v>16289.0504666772</v>
      </c>
      <c r="L351">
        <v>16926.5802961674</v>
      </c>
      <c r="M351">
        <v>17891.4773077679</v>
      </c>
      <c r="N351">
        <v>19125.5822401184</v>
      </c>
      <c r="O351">
        <v>20844.6194882198</v>
      </c>
      <c r="P351">
        <v>22791.2199314054</v>
      </c>
    </row>
    <row r="352" spans="1:16" ht="12.75">
      <c r="A352" s="62" t="str">
        <f t="shared" si="5"/>
        <v>Czech Republic_GDP per capita, PPP (constant 2000 international $)</v>
      </c>
      <c r="B352" t="s">
        <v>462</v>
      </c>
      <c r="C352" t="s">
        <v>210</v>
      </c>
      <c r="D352" t="s">
        <v>436</v>
      </c>
      <c r="E352" t="s">
        <v>437</v>
      </c>
      <c r="F352">
        <v>14870.5292039464</v>
      </c>
      <c r="G352">
        <v>14777.462554655</v>
      </c>
      <c r="H352">
        <v>14678.4083061158</v>
      </c>
      <c r="I352">
        <v>14892.2406652747</v>
      </c>
      <c r="J352">
        <v>15450.0676090718</v>
      </c>
      <c r="K352">
        <v>15905.9077029767</v>
      </c>
      <c r="L352">
        <v>16244.1604126256</v>
      </c>
      <c r="M352">
        <v>16827.673651195</v>
      </c>
      <c r="N352">
        <v>17528.4549334622</v>
      </c>
      <c r="O352">
        <v>18544.5524626932</v>
      </c>
      <c r="P352">
        <v>19699.5285190405</v>
      </c>
    </row>
    <row r="353" spans="1:16" ht="12.75">
      <c r="A353" s="62" t="str">
        <f t="shared" si="5"/>
        <v>Czech Republic_GINI index</v>
      </c>
      <c r="B353" t="s">
        <v>462</v>
      </c>
      <c r="C353" t="s">
        <v>210</v>
      </c>
      <c r="D353" t="s">
        <v>438</v>
      </c>
      <c r="E353" t="s">
        <v>439</v>
      </c>
      <c r="F353">
        <v>25.4</v>
      </c>
      <c r="G353" t="s">
        <v>193</v>
      </c>
      <c r="H353" t="s">
        <v>193</v>
      </c>
      <c r="I353" t="s">
        <v>193</v>
      </c>
      <c r="J353" t="s">
        <v>193</v>
      </c>
      <c r="K353" t="s">
        <v>193</v>
      </c>
      <c r="L353" t="s">
        <v>193</v>
      </c>
      <c r="M353" t="s">
        <v>193</v>
      </c>
      <c r="N353" t="s">
        <v>193</v>
      </c>
      <c r="O353" t="s">
        <v>193</v>
      </c>
      <c r="P353" t="s">
        <v>193</v>
      </c>
    </row>
    <row r="354" spans="1:16" ht="12.75">
      <c r="A354" s="62" t="str">
        <f t="shared" si="5"/>
        <v>Djibouti_Poverty headcount ratio at national poverty line (% of population)</v>
      </c>
      <c r="B354" t="s">
        <v>463</v>
      </c>
      <c r="C354" t="s">
        <v>198</v>
      </c>
      <c r="D354" t="s">
        <v>408</v>
      </c>
      <c r="E354" t="s">
        <v>409</v>
      </c>
      <c r="F354" t="s">
        <v>193</v>
      </c>
      <c r="G354" t="s">
        <v>193</v>
      </c>
      <c r="H354" t="s">
        <v>193</v>
      </c>
      <c r="I354" t="s">
        <v>193</v>
      </c>
      <c r="J354" t="s">
        <v>193</v>
      </c>
      <c r="K354" t="s">
        <v>193</v>
      </c>
      <c r="L354" t="s">
        <v>193</v>
      </c>
      <c r="M354" t="s">
        <v>193</v>
      </c>
      <c r="N354" t="s">
        <v>193</v>
      </c>
      <c r="O354" t="s">
        <v>193</v>
      </c>
      <c r="P354" t="s">
        <v>193</v>
      </c>
    </row>
    <row r="355" spans="1:16" ht="12.75">
      <c r="A355" s="62" t="str">
        <f t="shared" si="5"/>
        <v>Djibouti_Poverty headcount ratio at $2 a day (PPP) (% of population)</v>
      </c>
      <c r="B355" t="s">
        <v>463</v>
      </c>
      <c r="C355" t="s">
        <v>198</v>
      </c>
      <c r="D355" t="s">
        <v>410</v>
      </c>
      <c r="E355" t="s">
        <v>411</v>
      </c>
      <c r="F355" t="s">
        <v>193</v>
      </c>
      <c r="G355" t="s">
        <v>193</v>
      </c>
      <c r="H355" t="s">
        <v>193</v>
      </c>
      <c r="I355" t="s">
        <v>193</v>
      </c>
      <c r="J355" t="s">
        <v>193</v>
      </c>
      <c r="K355" t="s">
        <v>193</v>
      </c>
      <c r="L355" t="s">
        <v>193</v>
      </c>
      <c r="M355" t="s">
        <v>193</v>
      </c>
      <c r="N355" t="s">
        <v>193</v>
      </c>
      <c r="O355" t="s">
        <v>193</v>
      </c>
      <c r="P355" t="s">
        <v>193</v>
      </c>
    </row>
    <row r="356" spans="1:16" ht="12.75">
      <c r="A356" s="62" t="str">
        <f t="shared" si="5"/>
        <v>Djibouti_Poverty headcount ratio at $1 a day (PPP) (% of population)</v>
      </c>
      <c r="B356" t="s">
        <v>463</v>
      </c>
      <c r="C356" t="s">
        <v>198</v>
      </c>
      <c r="D356" t="s">
        <v>412</v>
      </c>
      <c r="E356" t="s">
        <v>413</v>
      </c>
      <c r="F356" t="s">
        <v>193</v>
      </c>
      <c r="G356" t="s">
        <v>193</v>
      </c>
      <c r="H356" t="s">
        <v>193</v>
      </c>
      <c r="I356" t="s">
        <v>193</v>
      </c>
      <c r="J356" t="s">
        <v>193</v>
      </c>
      <c r="K356" t="s">
        <v>193</v>
      </c>
      <c r="L356" t="s">
        <v>193</v>
      </c>
      <c r="M356" t="s">
        <v>193</v>
      </c>
      <c r="N356" t="s">
        <v>193</v>
      </c>
      <c r="O356" t="s">
        <v>193</v>
      </c>
      <c r="P356" t="s">
        <v>193</v>
      </c>
    </row>
    <row r="357" spans="1:16" ht="12.75">
      <c r="A357" s="62" t="str">
        <f t="shared" si="5"/>
        <v>Djibouti_Poverty gap at $1 a day (PPP) (%)</v>
      </c>
      <c r="B357" t="s">
        <v>463</v>
      </c>
      <c r="C357" t="s">
        <v>198</v>
      </c>
      <c r="D357" t="s">
        <v>414</v>
      </c>
      <c r="E357" t="s">
        <v>415</v>
      </c>
      <c r="F357" t="s">
        <v>193</v>
      </c>
      <c r="G357" t="s">
        <v>193</v>
      </c>
      <c r="H357" t="s">
        <v>193</v>
      </c>
      <c r="I357" t="s">
        <v>193</v>
      </c>
      <c r="J357" t="s">
        <v>193</v>
      </c>
      <c r="K357" t="s">
        <v>193</v>
      </c>
      <c r="L357" t="s">
        <v>193</v>
      </c>
      <c r="M357" t="s">
        <v>193</v>
      </c>
      <c r="N357" t="s">
        <v>193</v>
      </c>
      <c r="O357" t="s">
        <v>193</v>
      </c>
      <c r="P357" t="s">
        <v>193</v>
      </c>
    </row>
    <row r="358" spans="1:16" ht="12.75">
      <c r="A358" s="62" t="str">
        <f t="shared" si="5"/>
        <v>Djibouti_Poverty gap at $2 a day (PPP) (%)</v>
      </c>
      <c r="B358" t="s">
        <v>463</v>
      </c>
      <c r="C358" t="s">
        <v>198</v>
      </c>
      <c r="D358" t="s">
        <v>416</v>
      </c>
      <c r="E358" t="s">
        <v>417</v>
      </c>
      <c r="F358" t="s">
        <v>193</v>
      </c>
      <c r="G358" t="s">
        <v>193</v>
      </c>
      <c r="H358" t="s">
        <v>193</v>
      </c>
      <c r="I358" t="s">
        <v>193</v>
      </c>
      <c r="J358" t="s">
        <v>193</v>
      </c>
      <c r="K358" t="s">
        <v>193</v>
      </c>
      <c r="L358" t="s">
        <v>193</v>
      </c>
      <c r="M358" t="s">
        <v>193</v>
      </c>
      <c r="N358" t="s">
        <v>193</v>
      </c>
      <c r="O358" t="s">
        <v>193</v>
      </c>
      <c r="P358" t="s">
        <v>193</v>
      </c>
    </row>
    <row r="359" spans="1:16" ht="12.75">
      <c r="A359" s="62" t="str">
        <f t="shared" si="5"/>
        <v>Djibouti_Population, total</v>
      </c>
      <c r="B359" t="s">
        <v>463</v>
      </c>
      <c r="C359" t="s">
        <v>198</v>
      </c>
      <c r="D359" t="s">
        <v>418</v>
      </c>
      <c r="E359" t="s">
        <v>419</v>
      </c>
      <c r="F359">
        <v>625560</v>
      </c>
      <c r="G359">
        <v>646605</v>
      </c>
      <c r="H359">
        <v>670132</v>
      </c>
      <c r="I359">
        <v>693443</v>
      </c>
      <c r="J359">
        <v>714574</v>
      </c>
      <c r="K359">
        <v>733118</v>
      </c>
      <c r="L359">
        <v>749745</v>
      </c>
      <c r="M359">
        <v>764838</v>
      </c>
      <c r="N359">
        <v>779102</v>
      </c>
      <c r="O359">
        <v>793078</v>
      </c>
      <c r="P359">
        <v>805656.990527126</v>
      </c>
    </row>
    <row r="360" spans="1:16" ht="12.75">
      <c r="A360" s="62" t="str">
        <f t="shared" si="5"/>
        <v>Djibouti_Public spending on education, total (% of GDP)</v>
      </c>
      <c r="B360" t="s">
        <v>463</v>
      </c>
      <c r="C360" t="s">
        <v>198</v>
      </c>
      <c r="D360" t="s">
        <v>420</v>
      </c>
      <c r="E360" t="s">
        <v>421</v>
      </c>
      <c r="F360" t="s">
        <v>193</v>
      </c>
      <c r="G360" t="s">
        <v>193</v>
      </c>
      <c r="H360" t="s">
        <v>193</v>
      </c>
      <c r="I360" t="s">
        <v>193</v>
      </c>
      <c r="J360" t="s">
        <v>193</v>
      </c>
      <c r="K360" t="s">
        <v>193</v>
      </c>
      <c r="L360" t="s">
        <v>193</v>
      </c>
      <c r="M360" t="s">
        <v>193</v>
      </c>
      <c r="N360">
        <v>6.09568723755719</v>
      </c>
      <c r="O360">
        <v>7.86006245858286</v>
      </c>
      <c r="P360" t="s">
        <v>193</v>
      </c>
    </row>
    <row r="361" spans="1:16" ht="12.75">
      <c r="A361" s="62" t="str">
        <f t="shared" si="5"/>
        <v>Djibouti_Public spending on education, total (% of government expenditure)</v>
      </c>
      <c r="B361" t="s">
        <v>463</v>
      </c>
      <c r="C361" t="s">
        <v>198</v>
      </c>
      <c r="D361" t="s">
        <v>422</v>
      </c>
      <c r="E361" t="s">
        <v>423</v>
      </c>
      <c r="F361" t="s">
        <v>193</v>
      </c>
      <c r="G361" t="s">
        <v>193</v>
      </c>
      <c r="H361" t="s">
        <v>193</v>
      </c>
      <c r="I361" t="s">
        <v>193</v>
      </c>
      <c r="J361" t="s">
        <v>193</v>
      </c>
      <c r="K361" t="s">
        <v>193</v>
      </c>
      <c r="L361" t="s">
        <v>193</v>
      </c>
      <c r="M361" t="s">
        <v>193</v>
      </c>
      <c r="N361">
        <v>20.4965731368341</v>
      </c>
      <c r="O361">
        <v>27.3152661337493</v>
      </c>
      <c r="P361" t="s">
        <v>193</v>
      </c>
    </row>
    <row r="362" spans="1:16" ht="12.75">
      <c r="A362" s="62" t="str">
        <f t="shared" si="5"/>
        <v>Djibouti_Health expenditure, public (% of total health expenditure)</v>
      </c>
      <c r="B362" t="s">
        <v>463</v>
      </c>
      <c r="C362" t="s">
        <v>198</v>
      </c>
      <c r="D362" t="s">
        <v>424</v>
      </c>
      <c r="E362" t="s">
        <v>425</v>
      </c>
      <c r="F362" t="s">
        <v>193</v>
      </c>
      <c r="G362" t="s">
        <v>193</v>
      </c>
      <c r="H362" t="s">
        <v>193</v>
      </c>
      <c r="I362" t="s">
        <v>193</v>
      </c>
      <c r="J362">
        <v>71.9</v>
      </c>
      <c r="K362">
        <v>71.1</v>
      </c>
      <c r="L362">
        <v>70.7</v>
      </c>
      <c r="M362">
        <v>67.5</v>
      </c>
      <c r="N362">
        <v>69.2</v>
      </c>
      <c r="O362" t="s">
        <v>193</v>
      </c>
      <c r="P362" t="s">
        <v>193</v>
      </c>
    </row>
    <row r="363" spans="1:16" ht="12.75">
      <c r="A363" s="62" t="str">
        <f t="shared" si="5"/>
        <v>Djibouti_Health expenditure, public (% of GDP)</v>
      </c>
      <c r="B363" t="s">
        <v>463</v>
      </c>
      <c r="C363" t="s">
        <v>198</v>
      </c>
      <c r="D363" t="s">
        <v>426</v>
      </c>
      <c r="E363" t="s">
        <v>427</v>
      </c>
      <c r="F363" t="s">
        <v>193</v>
      </c>
      <c r="G363" t="s">
        <v>193</v>
      </c>
      <c r="H363" t="s">
        <v>193</v>
      </c>
      <c r="I363" t="s">
        <v>193</v>
      </c>
      <c r="J363">
        <v>4.7454</v>
      </c>
      <c r="K363">
        <v>4.6926</v>
      </c>
      <c r="L363">
        <v>4.7369</v>
      </c>
      <c r="M363">
        <v>3.9825</v>
      </c>
      <c r="N363">
        <v>4.3596</v>
      </c>
      <c r="O363" t="s">
        <v>193</v>
      </c>
      <c r="P363" t="s">
        <v>193</v>
      </c>
    </row>
    <row r="364" spans="1:16" ht="12.75">
      <c r="A364" s="62" t="str">
        <f t="shared" si="5"/>
        <v>Djibouti_Health expenditure, total (% of GDP)</v>
      </c>
      <c r="B364" t="s">
        <v>463</v>
      </c>
      <c r="C364" t="s">
        <v>198</v>
      </c>
      <c r="D364" t="s">
        <v>428</v>
      </c>
      <c r="E364" t="s">
        <v>429</v>
      </c>
      <c r="F364" t="s">
        <v>193</v>
      </c>
      <c r="G364" t="s">
        <v>193</v>
      </c>
      <c r="H364" t="s">
        <v>193</v>
      </c>
      <c r="I364" t="s">
        <v>193</v>
      </c>
      <c r="J364">
        <v>6.6</v>
      </c>
      <c r="K364">
        <v>6.6</v>
      </c>
      <c r="L364">
        <v>6.7</v>
      </c>
      <c r="M364">
        <v>5.9</v>
      </c>
      <c r="N364">
        <v>6.3</v>
      </c>
      <c r="O364" t="s">
        <v>193</v>
      </c>
      <c r="P364" t="s">
        <v>193</v>
      </c>
    </row>
    <row r="365" spans="1:16" ht="12.75">
      <c r="A365" s="62" t="str">
        <f t="shared" si="5"/>
        <v>Djibouti_GDP (current LCU)</v>
      </c>
      <c r="B365" t="s">
        <v>463</v>
      </c>
      <c r="C365" t="s">
        <v>198</v>
      </c>
      <c r="D365" t="s">
        <v>430</v>
      </c>
      <c r="E365" t="s">
        <v>431</v>
      </c>
      <c r="F365">
        <v>87794999296</v>
      </c>
      <c r="G365">
        <v>89335996416</v>
      </c>
      <c r="H365">
        <v>91396202496</v>
      </c>
      <c r="I365">
        <v>95272697856</v>
      </c>
      <c r="J365">
        <v>97965301760</v>
      </c>
      <c r="K365">
        <v>101730598912</v>
      </c>
      <c r="L365">
        <v>105054797824</v>
      </c>
      <c r="M365">
        <v>111530000384</v>
      </c>
      <c r="N365">
        <v>118400000000</v>
      </c>
      <c r="O365">
        <v>125976002560</v>
      </c>
      <c r="P365">
        <v>134542000128</v>
      </c>
    </row>
    <row r="366" spans="1:16" ht="12.75">
      <c r="A366" s="62" t="str">
        <f t="shared" si="5"/>
        <v>Djibouti_GDP (current US$)</v>
      </c>
      <c r="B366" t="s">
        <v>463</v>
      </c>
      <c r="C366" t="s">
        <v>198</v>
      </c>
      <c r="D366" t="s">
        <v>432</v>
      </c>
      <c r="E366" t="s">
        <v>433</v>
      </c>
      <c r="F366">
        <v>494004672</v>
      </c>
      <c r="G366">
        <v>502675552</v>
      </c>
      <c r="H366">
        <v>514267904</v>
      </c>
      <c r="I366">
        <v>536080160</v>
      </c>
      <c r="J366">
        <v>551230848</v>
      </c>
      <c r="K366">
        <v>572417472</v>
      </c>
      <c r="L366">
        <v>591122048</v>
      </c>
      <c r="M366">
        <v>627556672</v>
      </c>
      <c r="N366">
        <v>666212800</v>
      </c>
      <c r="O366">
        <v>708841408</v>
      </c>
      <c r="P366">
        <v>757040512</v>
      </c>
    </row>
    <row r="367" spans="1:16" ht="12.75">
      <c r="A367" s="62" t="str">
        <f t="shared" si="5"/>
        <v>Djibouti_GDP per capita, PPP (current international $)</v>
      </c>
      <c r="B367" t="s">
        <v>463</v>
      </c>
      <c r="C367" t="s">
        <v>198</v>
      </c>
      <c r="D367" t="s">
        <v>434</v>
      </c>
      <c r="E367" t="s">
        <v>435</v>
      </c>
      <c r="F367">
        <v>1952.28571269669</v>
      </c>
      <c r="G367">
        <v>1905.94449643081</v>
      </c>
      <c r="H367">
        <v>1861.33680990224</v>
      </c>
      <c r="I367">
        <v>1864.51653997563</v>
      </c>
      <c r="J367">
        <v>1856.51809257122</v>
      </c>
      <c r="K367">
        <v>1891.0934658792</v>
      </c>
      <c r="L367">
        <v>1930.78638275715</v>
      </c>
      <c r="M367">
        <v>1993.0071056507</v>
      </c>
      <c r="N367">
        <v>2068.10372055134</v>
      </c>
      <c r="O367">
        <v>2159.91302309299</v>
      </c>
      <c r="P367">
        <v>2293.47944093215</v>
      </c>
    </row>
    <row r="368" spans="1:16" ht="12.75">
      <c r="A368" s="62" t="str">
        <f t="shared" si="5"/>
        <v>Djibouti_GDP per capita, PPP (constant 2000 international $)</v>
      </c>
      <c r="B368" t="s">
        <v>463</v>
      </c>
      <c r="C368" t="s">
        <v>198</v>
      </c>
      <c r="D368" t="s">
        <v>436</v>
      </c>
      <c r="E368" t="s">
        <v>437</v>
      </c>
      <c r="F368">
        <v>2080.32875181547</v>
      </c>
      <c r="G368">
        <v>1997.58152648741</v>
      </c>
      <c r="H368">
        <v>1929.39282577487</v>
      </c>
      <c r="I368">
        <v>1905.16030315363</v>
      </c>
      <c r="J368">
        <v>1856.51809257122</v>
      </c>
      <c r="K368">
        <v>1846.61212680943</v>
      </c>
      <c r="L368">
        <v>1852.94390096751</v>
      </c>
      <c r="M368">
        <v>1874.50553028629</v>
      </c>
      <c r="N368">
        <v>1895.40179265075</v>
      </c>
      <c r="O368">
        <v>1921.58078943292</v>
      </c>
      <c r="P368">
        <v>1982.36267257546</v>
      </c>
    </row>
    <row r="369" spans="1:16" ht="12.75">
      <c r="A369" s="62" t="str">
        <f t="shared" si="5"/>
        <v>Djibouti_GINI index</v>
      </c>
      <c r="B369" t="s">
        <v>463</v>
      </c>
      <c r="C369" t="s">
        <v>198</v>
      </c>
      <c r="D369" t="s">
        <v>438</v>
      </c>
      <c r="E369" t="s">
        <v>439</v>
      </c>
      <c r="F369" t="s">
        <v>193</v>
      </c>
      <c r="G369" t="s">
        <v>193</v>
      </c>
      <c r="H369" t="s">
        <v>193</v>
      </c>
      <c r="I369" t="s">
        <v>193</v>
      </c>
      <c r="J369" t="s">
        <v>193</v>
      </c>
      <c r="K369" t="s">
        <v>193</v>
      </c>
      <c r="L369" t="s">
        <v>193</v>
      </c>
      <c r="M369" t="s">
        <v>193</v>
      </c>
      <c r="N369" t="s">
        <v>193</v>
      </c>
      <c r="O369" t="s">
        <v>193</v>
      </c>
      <c r="P369" t="s">
        <v>193</v>
      </c>
    </row>
    <row r="370" spans="1:16" ht="12.75">
      <c r="A370" s="62" t="str">
        <f t="shared" si="5"/>
        <v>Dominica_Poverty headcount ratio at national poverty line (% of population)</v>
      </c>
      <c r="B370" t="s">
        <v>464</v>
      </c>
      <c r="C370" t="s">
        <v>243</v>
      </c>
      <c r="D370" t="s">
        <v>408</v>
      </c>
      <c r="E370" t="s">
        <v>409</v>
      </c>
      <c r="F370" t="s">
        <v>193</v>
      </c>
      <c r="G370" t="s">
        <v>193</v>
      </c>
      <c r="H370" t="s">
        <v>193</v>
      </c>
      <c r="I370" t="s">
        <v>193</v>
      </c>
      <c r="J370" t="s">
        <v>193</v>
      </c>
      <c r="K370" t="s">
        <v>193</v>
      </c>
      <c r="L370" t="s">
        <v>193</v>
      </c>
      <c r="M370" t="s">
        <v>193</v>
      </c>
      <c r="N370" t="s">
        <v>193</v>
      </c>
      <c r="O370" t="s">
        <v>193</v>
      </c>
      <c r="P370" t="s">
        <v>193</v>
      </c>
    </row>
    <row r="371" spans="1:16" ht="12.75">
      <c r="A371" s="62" t="str">
        <f aca="true" t="shared" si="6" ref="A371:A434">C371&amp;"_"&amp;E371</f>
        <v>Dominica_Poverty headcount ratio at $2 a day (PPP) (% of population)</v>
      </c>
      <c r="B371" t="s">
        <v>464</v>
      </c>
      <c r="C371" t="s">
        <v>243</v>
      </c>
      <c r="D371" t="s">
        <v>410</v>
      </c>
      <c r="E371" t="s">
        <v>411</v>
      </c>
      <c r="F371" t="s">
        <v>193</v>
      </c>
      <c r="G371" t="s">
        <v>193</v>
      </c>
      <c r="H371" t="s">
        <v>193</v>
      </c>
      <c r="I371" t="s">
        <v>193</v>
      </c>
      <c r="J371" t="s">
        <v>193</v>
      </c>
      <c r="K371" t="s">
        <v>193</v>
      </c>
      <c r="L371" t="s">
        <v>193</v>
      </c>
      <c r="M371" t="s">
        <v>193</v>
      </c>
      <c r="N371" t="s">
        <v>193</v>
      </c>
      <c r="O371" t="s">
        <v>193</v>
      </c>
      <c r="P371" t="s">
        <v>193</v>
      </c>
    </row>
    <row r="372" spans="1:16" ht="12.75">
      <c r="A372" s="62" t="str">
        <f t="shared" si="6"/>
        <v>Dominica_Poverty headcount ratio at $1 a day (PPP) (% of population)</v>
      </c>
      <c r="B372" t="s">
        <v>464</v>
      </c>
      <c r="C372" t="s">
        <v>243</v>
      </c>
      <c r="D372" t="s">
        <v>412</v>
      </c>
      <c r="E372" t="s">
        <v>413</v>
      </c>
      <c r="F372" t="s">
        <v>193</v>
      </c>
      <c r="G372" t="s">
        <v>193</v>
      </c>
      <c r="H372" t="s">
        <v>193</v>
      </c>
      <c r="I372" t="s">
        <v>193</v>
      </c>
      <c r="J372" t="s">
        <v>193</v>
      </c>
      <c r="K372" t="s">
        <v>193</v>
      </c>
      <c r="L372" t="s">
        <v>193</v>
      </c>
      <c r="M372" t="s">
        <v>193</v>
      </c>
      <c r="N372" t="s">
        <v>193</v>
      </c>
      <c r="O372" t="s">
        <v>193</v>
      </c>
      <c r="P372" t="s">
        <v>193</v>
      </c>
    </row>
    <row r="373" spans="1:16" ht="12.75">
      <c r="A373" s="62" t="str">
        <f t="shared" si="6"/>
        <v>Dominica_Poverty gap at $1 a day (PPP) (%)</v>
      </c>
      <c r="B373" t="s">
        <v>464</v>
      </c>
      <c r="C373" t="s">
        <v>243</v>
      </c>
      <c r="D373" t="s">
        <v>414</v>
      </c>
      <c r="E373" t="s">
        <v>415</v>
      </c>
      <c r="F373" t="s">
        <v>193</v>
      </c>
      <c r="G373" t="s">
        <v>193</v>
      </c>
      <c r="H373" t="s">
        <v>193</v>
      </c>
      <c r="I373" t="s">
        <v>193</v>
      </c>
      <c r="J373" t="s">
        <v>193</v>
      </c>
      <c r="K373" t="s">
        <v>193</v>
      </c>
      <c r="L373" t="s">
        <v>193</v>
      </c>
      <c r="M373" t="s">
        <v>193</v>
      </c>
      <c r="N373" t="s">
        <v>193</v>
      </c>
      <c r="O373" t="s">
        <v>193</v>
      </c>
      <c r="P373" t="s">
        <v>193</v>
      </c>
    </row>
    <row r="374" spans="1:16" ht="12.75">
      <c r="A374" s="62" t="str">
        <f t="shared" si="6"/>
        <v>Dominica_Poverty gap at $2 a day (PPP) (%)</v>
      </c>
      <c r="B374" t="s">
        <v>464</v>
      </c>
      <c r="C374" t="s">
        <v>243</v>
      </c>
      <c r="D374" t="s">
        <v>416</v>
      </c>
      <c r="E374" t="s">
        <v>417</v>
      </c>
      <c r="F374" t="s">
        <v>193</v>
      </c>
      <c r="G374" t="s">
        <v>193</v>
      </c>
      <c r="H374" t="s">
        <v>193</v>
      </c>
      <c r="I374" t="s">
        <v>193</v>
      </c>
      <c r="J374" t="s">
        <v>193</v>
      </c>
      <c r="K374" t="s">
        <v>193</v>
      </c>
      <c r="L374" t="s">
        <v>193</v>
      </c>
      <c r="M374" t="s">
        <v>193</v>
      </c>
      <c r="N374" t="s">
        <v>193</v>
      </c>
      <c r="O374" t="s">
        <v>193</v>
      </c>
      <c r="P374" t="s">
        <v>193</v>
      </c>
    </row>
    <row r="375" spans="1:16" ht="12.75">
      <c r="A375" s="62" t="str">
        <f t="shared" si="6"/>
        <v>Dominica_Population, total</v>
      </c>
      <c r="B375" t="s">
        <v>464</v>
      </c>
      <c r="C375" t="s">
        <v>243</v>
      </c>
      <c r="D375" t="s">
        <v>418</v>
      </c>
      <c r="E375" t="s">
        <v>419</v>
      </c>
      <c r="F375">
        <v>72183</v>
      </c>
      <c r="G375">
        <v>72042</v>
      </c>
      <c r="H375">
        <v>71807</v>
      </c>
      <c r="I375">
        <v>71530</v>
      </c>
      <c r="J375">
        <v>71326</v>
      </c>
      <c r="K375">
        <v>71079</v>
      </c>
      <c r="L375">
        <v>71079</v>
      </c>
      <c r="M375">
        <v>71212.8282948678</v>
      </c>
      <c r="N375">
        <v>71471</v>
      </c>
      <c r="O375">
        <v>72000</v>
      </c>
      <c r="P375">
        <v>72395.6282190468</v>
      </c>
    </row>
    <row r="376" spans="1:16" ht="12.75">
      <c r="A376" s="62" t="str">
        <f t="shared" si="6"/>
        <v>Dominica_Public spending on education, total (% of GDP)</v>
      </c>
      <c r="B376" t="s">
        <v>464</v>
      </c>
      <c r="C376" t="s">
        <v>243</v>
      </c>
      <c r="D376" t="s">
        <v>420</v>
      </c>
      <c r="E376" t="s">
        <v>421</v>
      </c>
      <c r="F376" t="s">
        <v>193</v>
      </c>
      <c r="G376" t="s">
        <v>193</v>
      </c>
      <c r="H376" t="s">
        <v>193</v>
      </c>
      <c r="I376">
        <v>4.99418816430469</v>
      </c>
      <c r="J376" t="s">
        <v>193</v>
      </c>
      <c r="K376" t="s">
        <v>193</v>
      </c>
      <c r="L376" t="s">
        <v>193</v>
      </c>
      <c r="M376" t="s">
        <v>193</v>
      </c>
      <c r="N376" t="s">
        <v>193</v>
      </c>
      <c r="O376" t="s">
        <v>193</v>
      </c>
      <c r="P376" t="s">
        <v>193</v>
      </c>
    </row>
    <row r="377" spans="1:16" ht="12.75">
      <c r="A377" s="62" t="str">
        <f t="shared" si="6"/>
        <v>Dominica_Public spending on education, total (% of government expenditure)</v>
      </c>
      <c r="B377" t="s">
        <v>464</v>
      </c>
      <c r="C377" t="s">
        <v>243</v>
      </c>
      <c r="D377" t="s">
        <v>422</v>
      </c>
      <c r="E377" t="s">
        <v>423</v>
      </c>
      <c r="F377" t="s">
        <v>193</v>
      </c>
      <c r="G377" t="s">
        <v>193</v>
      </c>
      <c r="H377" t="s">
        <v>193</v>
      </c>
      <c r="I377" t="s">
        <v>193</v>
      </c>
      <c r="J377" t="s">
        <v>193</v>
      </c>
      <c r="K377" t="s">
        <v>193</v>
      </c>
      <c r="L377" t="s">
        <v>193</v>
      </c>
      <c r="M377" t="s">
        <v>193</v>
      </c>
      <c r="N377" t="s">
        <v>193</v>
      </c>
      <c r="O377" t="s">
        <v>193</v>
      </c>
      <c r="P377" t="s">
        <v>193</v>
      </c>
    </row>
    <row r="378" spans="1:16" ht="12.75">
      <c r="A378" s="62" t="str">
        <f t="shared" si="6"/>
        <v>Dominica_Health expenditure, public (% of total health expenditure)</v>
      </c>
      <c r="B378" t="s">
        <v>464</v>
      </c>
      <c r="C378" t="s">
        <v>243</v>
      </c>
      <c r="D378" t="s">
        <v>424</v>
      </c>
      <c r="E378" t="s">
        <v>425</v>
      </c>
      <c r="F378" t="s">
        <v>193</v>
      </c>
      <c r="G378" t="s">
        <v>193</v>
      </c>
      <c r="H378" t="s">
        <v>193</v>
      </c>
      <c r="I378" t="s">
        <v>193</v>
      </c>
      <c r="J378">
        <v>73.6</v>
      </c>
      <c r="K378">
        <v>71.3</v>
      </c>
      <c r="L378">
        <v>71.3</v>
      </c>
      <c r="M378">
        <v>71.3</v>
      </c>
      <c r="N378">
        <v>71.3</v>
      </c>
      <c r="O378" t="s">
        <v>193</v>
      </c>
      <c r="P378" t="s">
        <v>193</v>
      </c>
    </row>
    <row r="379" spans="1:16" ht="12.75">
      <c r="A379" s="62" t="str">
        <f t="shared" si="6"/>
        <v>Dominica_Health expenditure, public (% of GDP)</v>
      </c>
      <c r="B379" t="s">
        <v>464</v>
      </c>
      <c r="C379" t="s">
        <v>243</v>
      </c>
      <c r="D379" t="s">
        <v>426</v>
      </c>
      <c r="E379" t="s">
        <v>427</v>
      </c>
      <c r="F379" t="s">
        <v>193</v>
      </c>
      <c r="G379" t="s">
        <v>193</v>
      </c>
      <c r="H379" t="s">
        <v>193</v>
      </c>
      <c r="I379" t="s">
        <v>193</v>
      </c>
      <c r="J379">
        <v>4.5632</v>
      </c>
      <c r="K379">
        <v>4.278</v>
      </c>
      <c r="L379">
        <v>4.4919</v>
      </c>
      <c r="M379">
        <v>4.3493</v>
      </c>
      <c r="N379">
        <v>4.2067</v>
      </c>
      <c r="O379" t="s">
        <v>193</v>
      </c>
      <c r="P379" t="s">
        <v>193</v>
      </c>
    </row>
    <row r="380" spans="1:16" ht="12.75">
      <c r="A380" s="62" t="str">
        <f t="shared" si="6"/>
        <v>Dominica_Health expenditure, total (% of GDP)</v>
      </c>
      <c r="B380" t="s">
        <v>464</v>
      </c>
      <c r="C380" t="s">
        <v>243</v>
      </c>
      <c r="D380" t="s">
        <v>428</v>
      </c>
      <c r="E380" t="s">
        <v>429</v>
      </c>
      <c r="F380" t="s">
        <v>193</v>
      </c>
      <c r="G380" t="s">
        <v>193</v>
      </c>
      <c r="H380" t="s">
        <v>193</v>
      </c>
      <c r="I380" t="s">
        <v>193</v>
      </c>
      <c r="J380">
        <v>6.2</v>
      </c>
      <c r="K380">
        <v>6</v>
      </c>
      <c r="L380">
        <v>6.3</v>
      </c>
      <c r="M380">
        <v>6.1</v>
      </c>
      <c r="N380">
        <v>5.9</v>
      </c>
      <c r="O380" t="s">
        <v>193</v>
      </c>
      <c r="P380" t="s">
        <v>193</v>
      </c>
    </row>
    <row r="381" spans="1:16" ht="12.75">
      <c r="A381" s="62" t="str">
        <f t="shared" si="6"/>
        <v>Dominica_GDP (current LCU)</v>
      </c>
      <c r="B381" t="s">
        <v>464</v>
      </c>
      <c r="C381" t="s">
        <v>243</v>
      </c>
      <c r="D381" t="s">
        <v>430</v>
      </c>
      <c r="E381" t="s">
        <v>431</v>
      </c>
      <c r="F381">
        <v>638400000</v>
      </c>
      <c r="G381">
        <v>659000000</v>
      </c>
      <c r="H381">
        <v>699920000</v>
      </c>
      <c r="I381">
        <v>722560000</v>
      </c>
      <c r="J381">
        <v>732160000</v>
      </c>
      <c r="K381">
        <v>706800000</v>
      </c>
      <c r="L381">
        <v>680499968</v>
      </c>
      <c r="M381">
        <v>697100032</v>
      </c>
      <c r="N381">
        <v>731955008</v>
      </c>
      <c r="O381">
        <v>765624960</v>
      </c>
      <c r="P381">
        <v>809500032</v>
      </c>
    </row>
    <row r="382" spans="1:16" ht="12.75">
      <c r="A382" s="62" t="str">
        <f t="shared" si="6"/>
        <v>Dominica_GDP (current US$)</v>
      </c>
      <c r="B382" t="s">
        <v>464</v>
      </c>
      <c r="C382" t="s">
        <v>243</v>
      </c>
      <c r="D382" t="s">
        <v>432</v>
      </c>
      <c r="E382" t="s">
        <v>433</v>
      </c>
      <c r="F382">
        <v>236444448</v>
      </c>
      <c r="G382">
        <v>244074064</v>
      </c>
      <c r="H382">
        <v>259229632</v>
      </c>
      <c r="I382">
        <v>267614816</v>
      </c>
      <c r="J382">
        <v>271170368</v>
      </c>
      <c r="K382">
        <v>261777760</v>
      </c>
      <c r="L382">
        <v>252037024</v>
      </c>
      <c r="M382">
        <v>258185200</v>
      </c>
      <c r="N382">
        <v>271094432</v>
      </c>
      <c r="O382">
        <v>283564800</v>
      </c>
      <c r="P382">
        <v>299814816</v>
      </c>
    </row>
    <row r="383" spans="1:16" ht="12.75">
      <c r="A383" s="62" t="str">
        <f t="shared" si="6"/>
        <v>Dominica_GDP per capita, PPP (current international $)</v>
      </c>
      <c r="B383" t="s">
        <v>464</v>
      </c>
      <c r="C383" t="s">
        <v>243</v>
      </c>
      <c r="D383" t="s">
        <v>434</v>
      </c>
      <c r="E383" t="s">
        <v>435</v>
      </c>
      <c r="F383">
        <v>4873.99991415662</v>
      </c>
      <c r="G383">
        <v>5039.13249908858</v>
      </c>
      <c r="H383">
        <v>5366.26323937585</v>
      </c>
      <c r="I383">
        <v>5502.22518847047</v>
      </c>
      <c r="J383">
        <v>5676.58950834537</v>
      </c>
      <c r="K383">
        <v>5614.30890288897</v>
      </c>
      <c r="L383">
        <v>5483.65352386903</v>
      </c>
      <c r="M383">
        <v>5706.65000020235</v>
      </c>
      <c r="N383">
        <v>6208.87523830134</v>
      </c>
      <c r="O383">
        <v>6565.04063599818</v>
      </c>
      <c r="P383">
        <v>6995.88104027369</v>
      </c>
    </row>
    <row r="384" spans="1:16" ht="12.75">
      <c r="A384" s="62" t="str">
        <f t="shared" si="6"/>
        <v>Dominica_GDP per capita, PPP (constant 2000 international $)</v>
      </c>
      <c r="B384" t="s">
        <v>464</v>
      </c>
      <c r="C384" t="s">
        <v>243</v>
      </c>
      <c r="D384" t="s">
        <v>436</v>
      </c>
      <c r="E384" t="s">
        <v>437</v>
      </c>
      <c r="F384">
        <v>5193.66714196788</v>
      </c>
      <c r="G384">
        <v>5281.41192387921</v>
      </c>
      <c r="H384">
        <v>5562.46980137623</v>
      </c>
      <c r="I384">
        <v>5622.16573751766</v>
      </c>
      <c r="J384">
        <v>5676.58950834537</v>
      </c>
      <c r="K384">
        <v>5482.25198319794</v>
      </c>
      <c r="L384">
        <v>5262.5719980283</v>
      </c>
      <c r="M384">
        <v>5367.34011356925</v>
      </c>
      <c r="N384">
        <v>5690.38832050642</v>
      </c>
      <c r="O384">
        <v>5840.63146668542</v>
      </c>
      <c r="P384">
        <v>6046.87061436242</v>
      </c>
    </row>
    <row r="385" spans="1:16" ht="12.75">
      <c r="A385" s="62" t="str">
        <f t="shared" si="6"/>
        <v>Dominica_GINI index</v>
      </c>
      <c r="B385" t="s">
        <v>464</v>
      </c>
      <c r="C385" t="s">
        <v>243</v>
      </c>
      <c r="D385" t="s">
        <v>438</v>
      </c>
      <c r="E385" t="s">
        <v>439</v>
      </c>
      <c r="F385" t="s">
        <v>193</v>
      </c>
      <c r="G385" t="s">
        <v>193</v>
      </c>
      <c r="H385" t="s">
        <v>193</v>
      </c>
      <c r="I385" t="s">
        <v>193</v>
      </c>
      <c r="J385" t="s">
        <v>193</v>
      </c>
      <c r="K385" t="s">
        <v>193</v>
      </c>
      <c r="L385" t="s">
        <v>193</v>
      </c>
      <c r="M385" t="s">
        <v>193</v>
      </c>
      <c r="N385" t="s">
        <v>193</v>
      </c>
      <c r="O385" t="s">
        <v>193</v>
      </c>
      <c r="P385" t="s">
        <v>193</v>
      </c>
    </row>
    <row r="386" spans="1:16" ht="12.75">
      <c r="A386" s="62" t="str">
        <f t="shared" si="6"/>
        <v>Dominican Republic_Poverty headcount ratio at national poverty line (% of population)</v>
      </c>
      <c r="B386" t="s">
        <v>465</v>
      </c>
      <c r="C386" t="s">
        <v>244</v>
      </c>
      <c r="D386" t="s">
        <v>408</v>
      </c>
      <c r="E386" t="s">
        <v>409</v>
      </c>
      <c r="F386" t="s">
        <v>193</v>
      </c>
      <c r="G386" t="s">
        <v>193</v>
      </c>
      <c r="H386" t="s">
        <v>193</v>
      </c>
      <c r="I386" t="s">
        <v>193</v>
      </c>
      <c r="J386">
        <v>27.7</v>
      </c>
      <c r="K386" t="s">
        <v>193</v>
      </c>
      <c r="L386" t="s">
        <v>193</v>
      </c>
      <c r="M386" t="s">
        <v>193</v>
      </c>
      <c r="N386">
        <v>42.2</v>
      </c>
      <c r="O386" t="s">
        <v>193</v>
      </c>
      <c r="P386" t="s">
        <v>193</v>
      </c>
    </row>
    <row r="387" spans="1:16" ht="12.75">
      <c r="A387" s="62" t="str">
        <f t="shared" si="6"/>
        <v>Dominican Republic_Poverty headcount ratio at $2 a day (PPP) (% of population)</v>
      </c>
      <c r="B387" t="s">
        <v>465</v>
      </c>
      <c r="C387" t="s">
        <v>244</v>
      </c>
      <c r="D387" t="s">
        <v>410</v>
      </c>
      <c r="E387" t="s">
        <v>411</v>
      </c>
      <c r="F387">
        <v>11.67</v>
      </c>
      <c r="G387" t="s">
        <v>193</v>
      </c>
      <c r="H387" t="s">
        <v>193</v>
      </c>
      <c r="I387" t="s">
        <v>193</v>
      </c>
      <c r="J387" t="s">
        <v>193</v>
      </c>
      <c r="K387" t="s">
        <v>193</v>
      </c>
      <c r="L387" t="s">
        <v>193</v>
      </c>
      <c r="M387">
        <v>12.04</v>
      </c>
      <c r="N387">
        <v>16.22</v>
      </c>
      <c r="O387" t="s">
        <v>193</v>
      </c>
      <c r="P387" t="s">
        <v>193</v>
      </c>
    </row>
    <row r="388" spans="1:16" ht="12.75">
      <c r="A388" s="62" t="str">
        <f t="shared" si="6"/>
        <v>Dominican Republic_Poverty headcount ratio at $1 a day (PPP) (% of population)</v>
      </c>
      <c r="B388" t="s">
        <v>465</v>
      </c>
      <c r="C388" t="s">
        <v>244</v>
      </c>
      <c r="D388" t="s">
        <v>412</v>
      </c>
      <c r="E388" t="s">
        <v>413</v>
      </c>
      <c r="F388">
        <v>2</v>
      </c>
      <c r="G388" t="s">
        <v>193</v>
      </c>
      <c r="H388" t="s">
        <v>193</v>
      </c>
      <c r="I388" t="s">
        <v>193</v>
      </c>
      <c r="J388" t="s">
        <v>193</v>
      </c>
      <c r="K388" t="s">
        <v>193</v>
      </c>
      <c r="L388" t="s">
        <v>193</v>
      </c>
      <c r="M388">
        <v>2</v>
      </c>
      <c r="N388">
        <v>2.78</v>
      </c>
      <c r="O388" t="s">
        <v>193</v>
      </c>
      <c r="P388" t="s">
        <v>193</v>
      </c>
    </row>
    <row r="389" spans="1:16" ht="12.75">
      <c r="A389" s="62" t="str">
        <f t="shared" si="6"/>
        <v>Dominican Republic_Poverty gap at $1 a day (PPP) (%)</v>
      </c>
      <c r="B389" t="s">
        <v>465</v>
      </c>
      <c r="C389" t="s">
        <v>244</v>
      </c>
      <c r="D389" t="s">
        <v>414</v>
      </c>
      <c r="E389" t="s">
        <v>415</v>
      </c>
      <c r="F389">
        <v>0.5</v>
      </c>
      <c r="G389" t="s">
        <v>193</v>
      </c>
      <c r="H389" t="s">
        <v>193</v>
      </c>
      <c r="I389" t="s">
        <v>193</v>
      </c>
      <c r="J389" t="s">
        <v>193</v>
      </c>
      <c r="K389" t="s">
        <v>193</v>
      </c>
      <c r="L389" t="s">
        <v>193</v>
      </c>
      <c r="M389">
        <v>0.5</v>
      </c>
      <c r="N389">
        <v>0.52</v>
      </c>
      <c r="O389" t="s">
        <v>193</v>
      </c>
      <c r="P389" t="s">
        <v>193</v>
      </c>
    </row>
    <row r="390" spans="1:16" ht="12.75">
      <c r="A390" s="62" t="str">
        <f t="shared" si="6"/>
        <v>Dominican Republic_Poverty gap at $2 a day (PPP) (%)</v>
      </c>
      <c r="B390" t="s">
        <v>465</v>
      </c>
      <c r="C390" t="s">
        <v>244</v>
      </c>
      <c r="D390" t="s">
        <v>416</v>
      </c>
      <c r="E390" t="s">
        <v>417</v>
      </c>
      <c r="F390">
        <v>3.36</v>
      </c>
      <c r="G390" t="s">
        <v>193</v>
      </c>
      <c r="H390" t="s">
        <v>193</v>
      </c>
      <c r="I390" t="s">
        <v>193</v>
      </c>
      <c r="J390" t="s">
        <v>193</v>
      </c>
      <c r="K390" t="s">
        <v>193</v>
      </c>
      <c r="L390" t="s">
        <v>193</v>
      </c>
      <c r="M390">
        <v>3.5</v>
      </c>
      <c r="N390">
        <v>4.89</v>
      </c>
      <c r="O390" t="s">
        <v>193</v>
      </c>
      <c r="P390" t="s">
        <v>193</v>
      </c>
    </row>
    <row r="391" spans="1:16" ht="12.75">
      <c r="A391" s="62" t="str">
        <f t="shared" si="6"/>
        <v>Dominican Republic_Population, total</v>
      </c>
      <c r="B391" t="s">
        <v>465</v>
      </c>
      <c r="C391" t="s">
        <v>244</v>
      </c>
      <c r="D391" t="s">
        <v>418</v>
      </c>
      <c r="E391" t="s">
        <v>419</v>
      </c>
      <c r="F391">
        <v>8159165</v>
      </c>
      <c r="G391">
        <v>8305325</v>
      </c>
      <c r="H391">
        <v>8451659</v>
      </c>
      <c r="I391">
        <v>8597936</v>
      </c>
      <c r="J391">
        <v>8743983</v>
      </c>
      <c r="K391">
        <v>8889627</v>
      </c>
      <c r="L391">
        <v>9034837</v>
      </c>
      <c r="M391">
        <v>9179758</v>
      </c>
      <c r="N391">
        <v>9324633</v>
      </c>
      <c r="O391">
        <v>9469601</v>
      </c>
      <c r="P391">
        <v>9614000</v>
      </c>
    </row>
    <row r="392" spans="1:16" ht="12.75">
      <c r="A392" s="62" t="str">
        <f t="shared" si="6"/>
        <v>Dominican Republic_Public spending on education, total (% of GDP)</v>
      </c>
      <c r="B392" t="s">
        <v>465</v>
      </c>
      <c r="C392" t="s">
        <v>244</v>
      </c>
      <c r="D392" t="s">
        <v>420</v>
      </c>
      <c r="E392" t="s">
        <v>421</v>
      </c>
      <c r="F392" t="s">
        <v>193</v>
      </c>
      <c r="G392" t="s">
        <v>193</v>
      </c>
      <c r="H392" t="s">
        <v>193</v>
      </c>
      <c r="I392" t="s">
        <v>193</v>
      </c>
      <c r="J392">
        <v>2.28821992770328</v>
      </c>
      <c r="K392">
        <v>2.29605755259275</v>
      </c>
      <c r="L392">
        <v>2.27071046427759</v>
      </c>
      <c r="M392">
        <v>2.30393359591173</v>
      </c>
      <c r="N392">
        <v>1.15726257749033</v>
      </c>
      <c r="O392">
        <v>1.82646270353781</v>
      </c>
      <c r="P392" t="s">
        <v>193</v>
      </c>
    </row>
    <row r="393" spans="1:16" ht="12.75">
      <c r="A393" s="62" t="str">
        <f t="shared" si="6"/>
        <v>Dominican Republic_Public spending on education, total (% of government expenditure)</v>
      </c>
      <c r="B393" t="s">
        <v>465</v>
      </c>
      <c r="C393" t="s">
        <v>244</v>
      </c>
      <c r="D393" t="s">
        <v>422</v>
      </c>
      <c r="E393" t="s">
        <v>423</v>
      </c>
      <c r="F393" t="s">
        <v>193</v>
      </c>
      <c r="G393" t="s">
        <v>193</v>
      </c>
      <c r="H393" t="s">
        <v>193</v>
      </c>
      <c r="I393" t="s">
        <v>193</v>
      </c>
      <c r="J393" t="s">
        <v>193</v>
      </c>
      <c r="K393">
        <v>13.0751241599572</v>
      </c>
      <c r="L393">
        <v>12.3738253215978</v>
      </c>
      <c r="M393" t="s">
        <v>193</v>
      </c>
      <c r="N393">
        <v>6.33109558271266</v>
      </c>
      <c r="O393">
        <v>9.69706845739998</v>
      </c>
      <c r="P393" t="s">
        <v>193</v>
      </c>
    </row>
    <row r="394" spans="1:16" ht="12.75">
      <c r="A394" s="62" t="str">
        <f t="shared" si="6"/>
        <v>Dominican Republic_Health expenditure, public (% of total health expenditure)</v>
      </c>
      <c r="B394" t="s">
        <v>465</v>
      </c>
      <c r="C394" t="s">
        <v>244</v>
      </c>
      <c r="D394" t="s">
        <v>424</v>
      </c>
      <c r="E394" t="s">
        <v>425</v>
      </c>
      <c r="F394" t="s">
        <v>193</v>
      </c>
      <c r="G394" t="s">
        <v>193</v>
      </c>
      <c r="H394" t="s">
        <v>193</v>
      </c>
      <c r="I394" t="s">
        <v>193</v>
      </c>
      <c r="J394">
        <v>33.4</v>
      </c>
      <c r="K394">
        <v>33</v>
      </c>
      <c r="L394">
        <v>32.3</v>
      </c>
      <c r="M394">
        <v>31.1</v>
      </c>
      <c r="N394">
        <v>31.6</v>
      </c>
      <c r="O394" t="s">
        <v>193</v>
      </c>
      <c r="P394" t="s">
        <v>193</v>
      </c>
    </row>
    <row r="395" spans="1:16" ht="12.75">
      <c r="A395" s="62" t="str">
        <f t="shared" si="6"/>
        <v>Dominican Republic_Health expenditure, public (% of GDP)</v>
      </c>
      <c r="B395" t="s">
        <v>465</v>
      </c>
      <c r="C395" t="s">
        <v>244</v>
      </c>
      <c r="D395" t="s">
        <v>426</v>
      </c>
      <c r="E395" t="s">
        <v>427</v>
      </c>
      <c r="F395" t="s">
        <v>193</v>
      </c>
      <c r="G395" t="s">
        <v>193</v>
      </c>
      <c r="H395" t="s">
        <v>193</v>
      </c>
      <c r="I395" t="s">
        <v>193</v>
      </c>
      <c r="J395">
        <v>1.837</v>
      </c>
      <c r="K395">
        <v>1.947</v>
      </c>
      <c r="L395">
        <v>2.0349</v>
      </c>
      <c r="M395">
        <v>1.9282</v>
      </c>
      <c r="N395">
        <v>1.896</v>
      </c>
      <c r="O395" t="s">
        <v>193</v>
      </c>
      <c r="P395" t="s">
        <v>193</v>
      </c>
    </row>
    <row r="396" spans="1:16" ht="12.75">
      <c r="A396" s="62" t="str">
        <f t="shared" si="6"/>
        <v>Dominican Republic_Health expenditure, total (% of GDP)</v>
      </c>
      <c r="B396" t="s">
        <v>465</v>
      </c>
      <c r="C396" t="s">
        <v>244</v>
      </c>
      <c r="D396" t="s">
        <v>428</v>
      </c>
      <c r="E396" t="s">
        <v>429</v>
      </c>
      <c r="F396" t="s">
        <v>193</v>
      </c>
      <c r="G396" t="s">
        <v>193</v>
      </c>
      <c r="H396" t="s">
        <v>193</v>
      </c>
      <c r="I396" t="s">
        <v>193</v>
      </c>
      <c r="J396">
        <v>5.5</v>
      </c>
      <c r="K396">
        <v>5.9</v>
      </c>
      <c r="L396">
        <v>6.3</v>
      </c>
      <c r="M396">
        <v>6.2</v>
      </c>
      <c r="N396">
        <v>6</v>
      </c>
      <c r="O396" t="s">
        <v>193</v>
      </c>
      <c r="P396" t="s">
        <v>193</v>
      </c>
    </row>
    <row r="397" spans="1:16" ht="12.75">
      <c r="A397" s="62" t="str">
        <f t="shared" si="6"/>
        <v>Dominican Republic_GDP (current LCU)</v>
      </c>
      <c r="B397" t="s">
        <v>465</v>
      </c>
      <c r="C397" t="s">
        <v>244</v>
      </c>
      <c r="D397" t="s">
        <v>430</v>
      </c>
      <c r="E397" t="s">
        <v>431</v>
      </c>
      <c r="F397">
        <v>183485923328</v>
      </c>
      <c r="G397">
        <v>214863708160</v>
      </c>
      <c r="H397">
        <v>241977196544</v>
      </c>
      <c r="I397">
        <v>278629515264</v>
      </c>
      <c r="J397">
        <v>324561698816</v>
      </c>
      <c r="K397">
        <v>366232109056</v>
      </c>
      <c r="L397">
        <v>402432196608</v>
      </c>
      <c r="M397">
        <v>503300096000</v>
      </c>
      <c r="N397">
        <v>777187622912</v>
      </c>
      <c r="O397">
        <v>884938964992</v>
      </c>
      <c r="P397">
        <v>1020334637056</v>
      </c>
    </row>
    <row r="398" spans="1:16" ht="12.75">
      <c r="A398" s="62" t="str">
        <f t="shared" si="6"/>
        <v>Dominican Republic_GDP (current US$)</v>
      </c>
      <c r="B398" t="s">
        <v>465</v>
      </c>
      <c r="C398" t="s">
        <v>244</v>
      </c>
      <c r="D398" t="s">
        <v>432</v>
      </c>
      <c r="E398" t="s">
        <v>433</v>
      </c>
      <c r="F398">
        <v>14223715328</v>
      </c>
      <c r="G398">
        <v>15061797888</v>
      </c>
      <c r="H398">
        <v>15850112000</v>
      </c>
      <c r="I398">
        <v>17378410496</v>
      </c>
      <c r="J398">
        <v>19772243968</v>
      </c>
      <c r="K398">
        <v>21604552704</v>
      </c>
      <c r="L398">
        <v>21624717312</v>
      </c>
      <c r="M398">
        <v>16324636672</v>
      </c>
      <c r="N398">
        <v>18451857408</v>
      </c>
      <c r="O398">
        <v>29100834816</v>
      </c>
      <c r="P398">
        <v>30581080064</v>
      </c>
    </row>
    <row r="399" spans="1:16" ht="12.75">
      <c r="A399" s="62" t="str">
        <f t="shared" si="6"/>
        <v>Dominican Republic_GDP per capita, PPP (current international $)</v>
      </c>
      <c r="B399" t="s">
        <v>465</v>
      </c>
      <c r="C399" t="s">
        <v>244</v>
      </c>
      <c r="D399" t="s">
        <v>434</v>
      </c>
      <c r="E399" t="s">
        <v>435</v>
      </c>
      <c r="F399">
        <v>4733.14173040463</v>
      </c>
      <c r="G399">
        <v>5113.04825973794</v>
      </c>
      <c r="H399">
        <v>5457.85264697389</v>
      </c>
      <c r="I399">
        <v>5886.04361324542</v>
      </c>
      <c r="J399">
        <v>6394.85357072635</v>
      </c>
      <c r="K399">
        <v>6675.63560770325</v>
      </c>
      <c r="L399">
        <v>6979.34624017726</v>
      </c>
      <c r="M399">
        <v>6877.79427663026</v>
      </c>
      <c r="N399">
        <v>7084.28530934992</v>
      </c>
      <c r="O399">
        <v>7853.50124731386</v>
      </c>
      <c r="P399">
        <v>8813.37685327908</v>
      </c>
    </row>
    <row r="400" spans="1:16" ht="12.75">
      <c r="A400" s="62" t="str">
        <f t="shared" si="6"/>
        <v>Dominican Republic_GDP per capita, PPP (constant 2000 international $)</v>
      </c>
      <c r="B400" t="s">
        <v>465</v>
      </c>
      <c r="C400" t="s">
        <v>244</v>
      </c>
      <c r="D400" t="s">
        <v>436</v>
      </c>
      <c r="E400" t="s">
        <v>437</v>
      </c>
      <c r="F400">
        <v>5043.57060246956</v>
      </c>
      <c r="G400">
        <v>5358.88152399923</v>
      </c>
      <c r="H400">
        <v>5657.40799042214</v>
      </c>
      <c r="I400">
        <v>6014.35084868313</v>
      </c>
      <c r="J400">
        <v>6394.85357072635</v>
      </c>
      <c r="K400">
        <v>6518.61470084161</v>
      </c>
      <c r="L400">
        <v>6697.96367115958</v>
      </c>
      <c r="M400">
        <v>6468.84969509707</v>
      </c>
      <c r="N400">
        <v>6492.69518813666</v>
      </c>
      <c r="O400">
        <v>6986.91890149136</v>
      </c>
      <c r="P400">
        <v>7617.81814193202</v>
      </c>
    </row>
    <row r="401" spans="1:16" ht="12.75">
      <c r="A401" s="62" t="str">
        <f t="shared" si="6"/>
        <v>Dominican Republic_GINI index</v>
      </c>
      <c r="B401" t="s">
        <v>465</v>
      </c>
      <c r="C401" t="s">
        <v>244</v>
      </c>
      <c r="D401" t="s">
        <v>438</v>
      </c>
      <c r="E401" t="s">
        <v>439</v>
      </c>
      <c r="F401">
        <v>48.71</v>
      </c>
      <c r="G401" t="s">
        <v>193</v>
      </c>
      <c r="H401" t="s">
        <v>193</v>
      </c>
      <c r="I401" t="s">
        <v>193</v>
      </c>
      <c r="J401" t="s">
        <v>193</v>
      </c>
      <c r="K401" t="s">
        <v>193</v>
      </c>
      <c r="L401" t="s">
        <v>193</v>
      </c>
      <c r="M401">
        <v>51.88</v>
      </c>
      <c r="N401">
        <v>51.64</v>
      </c>
      <c r="O401" t="s">
        <v>193</v>
      </c>
      <c r="P401" t="s">
        <v>193</v>
      </c>
    </row>
    <row r="402" spans="1:16" ht="12.75">
      <c r="A402" s="62" t="str">
        <f t="shared" si="6"/>
        <v>Ecuador_Poverty headcount ratio at national poverty line (% of population)</v>
      </c>
      <c r="B402" t="s">
        <v>466</v>
      </c>
      <c r="C402" t="s">
        <v>245</v>
      </c>
      <c r="D402" t="s">
        <v>408</v>
      </c>
      <c r="E402" t="s">
        <v>409</v>
      </c>
      <c r="F402" t="s">
        <v>193</v>
      </c>
      <c r="G402" t="s">
        <v>193</v>
      </c>
      <c r="H402">
        <v>46</v>
      </c>
      <c r="I402" t="s">
        <v>193</v>
      </c>
      <c r="J402" t="s">
        <v>193</v>
      </c>
      <c r="K402" t="s">
        <v>193</v>
      </c>
      <c r="L402" t="s">
        <v>193</v>
      </c>
      <c r="M402" t="s">
        <v>193</v>
      </c>
      <c r="N402" t="s">
        <v>193</v>
      </c>
      <c r="O402" t="s">
        <v>193</v>
      </c>
      <c r="P402" t="s">
        <v>193</v>
      </c>
    </row>
    <row r="403" spans="1:16" ht="12.75">
      <c r="A403" s="62" t="str">
        <f t="shared" si="6"/>
        <v>Ecuador_Poverty headcount ratio at $2 a day (PPP) (% of population)</v>
      </c>
      <c r="B403" t="s">
        <v>466</v>
      </c>
      <c r="C403" t="s">
        <v>245</v>
      </c>
      <c r="D403" t="s">
        <v>410</v>
      </c>
      <c r="E403" t="s">
        <v>411</v>
      </c>
      <c r="F403" t="s">
        <v>193</v>
      </c>
      <c r="G403" t="s">
        <v>193</v>
      </c>
      <c r="H403">
        <v>40.77</v>
      </c>
      <c r="I403" t="s">
        <v>193</v>
      </c>
      <c r="J403" t="s">
        <v>193</v>
      </c>
      <c r="K403" t="s">
        <v>193</v>
      </c>
      <c r="L403" t="s">
        <v>193</v>
      </c>
      <c r="M403" t="s">
        <v>193</v>
      </c>
      <c r="N403" t="s">
        <v>193</v>
      </c>
      <c r="O403" t="s">
        <v>193</v>
      </c>
      <c r="P403" t="s">
        <v>193</v>
      </c>
    </row>
    <row r="404" spans="1:16" ht="12.75">
      <c r="A404" s="62" t="str">
        <f t="shared" si="6"/>
        <v>Ecuador_Poverty headcount ratio at $1 a day (PPP) (% of population)</v>
      </c>
      <c r="B404" t="s">
        <v>466</v>
      </c>
      <c r="C404" t="s">
        <v>245</v>
      </c>
      <c r="D404" t="s">
        <v>412</v>
      </c>
      <c r="E404" t="s">
        <v>413</v>
      </c>
      <c r="F404" t="s">
        <v>193</v>
      </c>
      <c r="G404" t="s">
        <v>193</v>
      </c>
      <c r="H404">
        <v>17.67</v>
      </c>
      <c r="I404" t="s">
        <v>193</v>
      </c>
      <c r="J404" t="s">
        <v>193</v>
      </c>
      <c r="K404" t="s">
        <v>193</v>
      </c>
      <c r="L404" t="s">
        <v>193</v>
      </c>
      <c r="M404" t="s">
        <v>193</v>
      </c>
      <c r="N404" t="s">
        <v>193</v>
      </c>
      <c r="O404" t="s">
        <v>193</v>
      </c>
      <c r="P404" t="s">
        <v>193</v>
      </c>
    </row>
    <row r="405" spans="1:16" ht="12.75">
      <c r="A405" s="62" t="str">
        <f t="shared" si="6"/>
        <v>Ecuador_Poverty gap at $1 a day (PPP) (%)</v>
      </c>
      <c r="B405" t="s">
        <v>466</v>
      </c>
      <c r="C405" t="s">
        <v>245</v>
      </c>
      <c r="D405" t="s">
        <v>414</v>
      </c>
      <c r="E405" t="s">
        <v>415</v>
      </c>
      <c r="F405" t="s">
        <v>193</v>
      </c>
      <c r="G405" t="s">
        <v>193</v>
      </c>
      <c r="H405">
        <v>7.129</v>
      </c>
      <c r="I405" t="s">
        <v>193</v>
      </c>
      <c r="J405" t="s">
        <v>193</v>
      </c>
      <c r="K405" t="s">
        <v>193</v>
      </c>
      <c r="L405" t="s">
        <v>193</v>
      </c>
      <c r="M405" t="s">
        <v>193</v>
      </c>
      <c r="N405" t="s">
        <v>193</v>
      </c>
      <c r="O405" t="s">
        <v>193</v>
      </c>
      <c r="P405" t="s">
        <v>193</v>
      </c>
    </row>
    <row r="406" spans="1:16" ht="12.75">
      <c r="A406" s="62" t="str">
        <f t="shared" si="6"/>
        <v>Ecuador_Poverty gap at $2 a day (PPP) (%)</v>
      </c>
      <c r="B406" t="s">
        <v>466</v>
      </c>
      <c r="C406" t="s">
        <v>245</v>
      </c>
      <c r="D406" t="s">
        <v>416</v>
      </c>
      <c r="E406" t="s">
        <v>417</v>
      </c>
      <c r="F406" t="s">
        <v>193</v>
      </c>
      <c r="G406" t="s">
        <v>193</v>
      </c>
      <c r="H406">
        <v>17.688</v>
      </c>
      <c r="I406" t="s">
        <v>193</v>
      </c>
      <c r="J406" t="s">
        <v>193</v>
      </c>
      <c r="K406" t="s">
        <v>193</v>
      </c>
      <c r="L406" t="s">
        <v>193</v>
      </c>
      <c r="M406" t="s">
        <v>193</v>
      </c>
      <c r="N406" t="s">
        <v>193</v>
      </c>
      <c r="O406" t="s">
        <v>193</v>
      </c>
      <c r="P406" t="s">
        <v>193</v>
      </c>
    </row>
    <row r="407" spans="1:16" ht="12.75">
      <c r="A407" s="62" t="str">
        <f t="shared" si="6"/>
        <v>Ecuador_Population, total</v>
      </c>
      <c r="B407" t="s">
        <v>466</v>
      </c>
      <c r="C407" t="s">
        <v>245</v>
      </c>
      <c r="D407" t="s">
        <v>418</v>
      </c>
      <c r="E407" t="s">
        <v>419</v>
      </c>
      <c r="F407">
        <v>11592208</v>
      </c>
      <c r="G407">
        <v>11776733</v>
      </c>
      <c r="H407">
        <v>11953741</v>
      </c>
      <c r="I407">
        <v>12128650</v>
      </c>
      <c r="J407">
        <v>12305544</v>
      </c>
      <c r="K407">
        <v>12485580</v>
      </c>
      <c r="L407">
        <v>12668081</v>
      </c>
      <c r="M407">
        <v>12853057</v>
      </c>
      <c r="N407">
        <v>13039984</v>
      </c>
      <c r="O407">
        <v>13228422.9999999</v>
      </c>
      <c r="P407">
        <v>13412919.7702777</v>
      </c>
    </row>
    <row r="408" spans="1:16" ht="12.75">
      <c r="A408" s="62" t="str">
        <f t="shared" si="6"/>
        <v>Ecuador_Public spending on education, total (% of GDP)</v>
      </c>
      <c r="B408" t="s">
        <v>466</v>
      </c>
      <c r="C408" t="s">
        <v>245</v>
      </c>
      <c r="D408" t="s">
        <v>420</v>
      </c>
      <c r="E408" t="s">
        <v>421</v>
      </c>
      <c r="F408" t="s">
        <v>193</v>
      </c>
      <c r="G408" t="s">
        <v>193</v>
      </c>
      <c r="H408" t="s">
        <v>193</v>
      </c>
      <c r="I408">
        <v>1.82204143635242</v>
      </c>
      <c r="J408">
        <v>1.32378426429582</v>
      </c>
      <c r="K408">
        <v>0.97882348813996</v>
      </c>
      <c r="L408" t="s">
        <v>193</v>
      </c>
      <c r="M408" t="s">
        <v>193</v>
      </c>
      <c r="N408" t="s">
        <v>193</v>
      </c>
      <c r="O408" t="s">
        <v>193</v>
      </c>
      <c r="P408" t="s">
        <v>193</v>
      </c>
    </row>
    <row r="409" spans="1:16" ht="12.75">
      <c r="A409" s="62" t="str">
        <f t="shared" si="6"/>
        <v>Ecuador_Public spending on education, total (% of government expenditure)</v>
      </c>
      <c r="B409" t="s">
        <v>466</v>
      </c>
      <c r="C409" t="s">
        <v>245</v>
      </c>
      <c r="D409" t="s">
        <v>422</v>
      </c>
      <c r="E409" t="s">
        <v>423</v>
      </c>
      <c r="F409" t="s">
        <v>193</v>
      </c>
      <c r="G409" t="s">
        <v>193</v>
      </c>
      <c r="H409" t="s">
        <v>193</v>
      </c>
      <c r="I409">
        <v>9.66689923557836</v>
      </c>
      <c r="J409">
        <v>8.01348852025245</v>
      </c>
      <c r="K409" t="s">
        <v>193</v>
      </c>
      <c r="L409" t="s">
        <v>193</v>
      </c>
      <c r="M409" t="s">
        <v>193</v>
      </c>
      <c r="N409" t="s">
        <v>193</v>
      </c>
      <c r="O409" t="s">
        <v>193</v>
      </c>
      <c r="P409" t="s">
        <v>193</v>
      </c>
    </row>
    <row r="410" spans="1:16" ht="12.75">
      <c r="A410" s="62" t="str">
        <f t="shared" si="6"/>
        <v>Ecuador_Health expenditure, public (% of total health expenditure)</v>
      </c>
      <c r="B410" t="s">
        <v>466</v>
      </c>
      <c r="C410" t="s">
        <v>245</v>
      </c>
      <c r="D410" t="s">
        <v>424</v>
      </c>
      <c r="E410" t="s">
        <v>425</v>
      </c>
      <c r="F410" t="s">
        <v>193</v>
      </c>
      <c r="G410" t="s">
        <v>193</v>
      </c>
      <c r="H410" t="s">
        <v>193</v>
      </c>
      <c r="I410" t="s">
        <v>193</v>
      </c>
      <c r="J410">
        <v>31.2</v>
      </c>
      <c r="K410">
        <v>33.5</v>
      </c>
      <c r="L410">
        <v>37.7</v>
      </c>
      <c r="M410">
        <v>35.3</v>
      </c>
      <c r="N410">
        <v>40.7</v>
      </c>
      <c r="O410" t="s">
        <v>193</v>
      </c>
      <c r="P410" t="s">
        <v>193</v>
      </c>
    </row>
    <row r="411" spans="1:16" ht="12.75">
      <c r="A411" s="62" t="str">
        <f t="shared" si="6"/>
        <v>Ecuador_Health expenditure, public (% of GDP)</v>
      </c>
      <c r="B411" t="s">
        <v>466</v>
      </c>
      <c r="C411" t="s">
        <v>245</v>
      </c>
      <c r="D411" t="s">
        <v>426</v>
      </c>
      <c r="E411" t="s">
        <v>427</v>
      </c>
      <c r="F411" t="s">
        <v>193</v>
      </c>
      <c r="G411" t="s">
        <v>193</v>
      </c>
      <c r="H411" t="s">
        <v>193</v>
      </c>
      <c r="I411" t="s">
        <v>193</v>
      </c>
      <c r="J411">
        <v>1.2792</v>
      </c>
      <c r="K411">
        <v>1.608</v>
      </c>
      <c r="L411">
        <v>1.9227</v>
      </c>
      <c r="M411">
        <v>1.9768</v>
      </c>
      <c r="N411">
        <v>2.2385</v>
      </c>
      <c r="O411" t="s">
        <v>193</v>
      </c>
      <c r="P411" t="s">
        <v>193</v>
      </c>
    </row>
    <row r="412" spans="1:16" ht="12.75">
      <c r="A412" s="62" t="str">
        <f t="shared" si="6"/>
        <v>Ecuador_Health expenditure, total (% of GDP)</v>
      </c>
      <c r="B412" t="s">
        <v>466</v>
      </c>
      <c r="C412" t="s">
        <v>245</v>
      </c>
      <c r="D412" t="s">
        <v>428</v>
      </c>
      <c r="E412" t="s">
        <v>429</v>
      </c>
      <c r="F412" t="s">
        <v>193</v>
      </c>
      <c r="G412" t="s">
        <v>193</v>
      </c>
      <c r="H412" t="s">
        <v>193</v>
      </c>
      <c r="I412" t="s">
        <v>193</v>
      </c>
      <c r="J412">
        <v>4.1</v>
      </c>
      <c r="K412">
        <v>4.8</v>
      </c>
      <c r="L412">
        <v>5.1</v>
      </c>
      <c r="M412">
        <v>5.6</v>
      </c>
      <c r="N412">
        <v>5.5</v>
      </c>
      <c r="O412" t="s">
        <v>193</v>
      </c>
      <c r="P412" t="s">
        <v>193</v>
      </c>
    </row>
    <row r="413" spans="1:16" ht="12.75">
      <c r="A413" s="62" t="str">
        <f t="shared" si="6"/>
        <v>Ecuador_GDP (current LCU)</v>
      </c>
      <c r="B413" t="s">
        <v>466</v>
      </c>
      <c r="C413" t="s">
        <v>245</v>
      </c>
      <c r="D413" t="s">
        <v>430</v>
      </c>
      <c r="E413" t="s">
        <v>431</v>
      </c>
      <c r="F413">
        <v>21268000768</v>
      </c>
      <c r="G413">
        <v>23636000768</v>
      </c>
      <c r="H413">
        <v>23254999040</v>
      </c>
      <c r="I413">
        <v>16673999872</v>
      </c>
      <c r="J413">
        <v>15934000128</v>
      </c>
      <c r="K413">
        <v>21250000896</v>
      </c>
      <c r="L413">
        <v>24899481600</v>
      </c>
      <c r="M413">
        <v>28635908096</v>
      </c>
      <c r="N413">
        <v>32635711488</v>
      </c>
      <c r="O413">
        <v>36488921088</v>
      </c>
      <c r="P413">
        <v>40800083968</v>
      </c>
    </row>
    <row r="414" spans="1:16" ht="12.75">
      <c r="A414" s="62" t="str">
        <f t="shared" si="6"/>
        <v>Ecuador_GDP (current US$)</v>
      </c>
      <c r="B414" t="s">
        <v>466</v>
      </c>
      <c r="C414" t="s">
        <v>245</v>
      </c>
      <c r="D414" t="s">
        <v>432</v>
      </c>
      <c r="E414" t="s">
        <v>433</v>
      </c>
      <c r="F414">
        <v>21278199808</v>
      </c>
      <c r="G414">
        <v>23647336448</v>
      </c>
      <c r="H414">
        <v>23266152448</v>
      </c>
      <c r="I414">
        <v>16681996288</v>
      </c>
      <c r="J414">
        <v>15941642240</v>
      </c>
      <c r="K414">
        <v>21250000896</v>
      </c>
      <c r="L414">
        <v>24899481600</v>
      </c>
      <c r="M414">
        <v>28635908096</v>
      </c>
      <c r="N414">
        <v>32635711488</v>
      </c>
      <c r="O414">
        <v>36488921088</v>
      </c>
      <c r="P414">
        <v>40800083968</v>
      </c>
    </row>
    <row r="415" spans="1:16" ht="12.75">
      <c r="A415" s="62" t="str">
        <f t="shared" si="6"/>
        <v>Ecuador_GDP per capita, PPP (current international $)</v>
      </c>
      <c r="B415" t="s">
        <v>466</v>
      </c>
      <c r="C415" t="s">
        <v>245</v>
      </c>
      <c r="D415" t="s">
        <v>434</v>
      </c>
      <c r="E415" t="s">
        <v>435</v>
      </c>
      <c r="F415">
        <v>3144.00422016137</v>
      </c>
      <c r="G415">
        <v>3273.96596308375</v>
      </c>
      <c r="H415">
        <v>3330.22662938895</v>
      </c>
      <c r="I415">
        <v>3119.87853915606</v>
      </c>
      <c r="J415">
        <v>3230.12972927526</v>
      </c>
      <c r="K415">
        <v>3434.22785936722</v>
      </c>
      <c r="L415">
        <v>3590.2241895419</v>
      </c>
      <c r="M415">
        <v>3739.67942560079</v>
      </c>
      <c r="N415">
        <v>4082.55477526584</v>
      </c>
      <c r="O415">
        <v>4342.42431184564</v>
      </c>
      <c r="P415">
        <v>4606.46137699907</v>
      </c>
    </row>
    <row r="416" spans="1:16" ht="12.75">
      <c r="A416" s="62" t="str">
        <f t="shared" si="6"/>
        <v>Ecuador_GDP per capita, PPP (constant 2000 international $)</v>
      </c>
      <c r="B416" t="s">
        <v>466</v>
      </c>
      <c r="C416" t="s">
        <v>245</v>
      </c>
      <c r="D416" t="s">
        <v>436</v>
      </c>
      <c r="E416" t="s">
        <v>437</v>
      </c>
      <c r="F416">
        <v>3350.20757079474</v>
      </c>
      <c r="G416">
        <v>3431.37690444389</v>
      </c>
      <c r="H416">
        <v>3451.98963065955</v>
      </c>
      <c r="I416">
        <v>3187.88737778576</v>
      </c>
      <c r="J416">
        <v>3230.12972927526</v>
      </c>
      <c r="K416">
        <v>3353.44969762557</v>
      </c>
      <c r="L416">
        <v>3445.47904135205</v>
      </c>
      <c r="M416">
        <v>3517.32301651669</v>
      </c>
      <c r="N416">
        <v>3741.6313131388</v>
      </c>
      <c r="O416">
        <v>3863.26627414838</v>
      </c>
      <c r="P416">
        <v>3981.58227340032</v>
      </c>
    </row>
    <row r="417" spans="1:16" ht="12.75">
      <c r="A417" s="62" t="str">
        <f t="shared" si="6"/>
        <v>Ecuador_GINI index</v>
      </c>
      <c r="B417" t="s">
        <v>466</v>
      </c>
      <c r="C417" t="s">
        <v>245</v>
      </c>
      <c r="D417" t="s">
        <v>438</v>
      </c>
      <c r="E417" t="s">
        <v>439</v>
      </c>
      <c r="F417" t="s">
        <v>193</v>
      </c>
      <c r="G417" t="s">
        <v>193</v>
      </c>
      <c r="H417">
        <v>53.55</v>
      </c>
      <c r="I417" t="s">
        <v>193</v>
      </c>
      <c r="J417" t="s">
        <v>193</v>
      </c>
      <c r="K417" t="s">
        <v>193</v>
      </c>
      <c r="L417" t="s">
        <v>193</v>
      </c>
      <c r="M417" t="s">
        <v>193</v>
      </c>
      <c r="N417" t="s">
        <v>193</v>
      </c>
      <c r="O417" t="s">
        <v>193</v>
      </c>
      <c r="P417" t="s">
        <v>193</v>
      </c>
    </row>
    <row r="418" spans="1:16" ht="12.75">
      <c r="A418" s="62" t="str">
        <f t="shared" si="6"/>
        <v>Egypt, Arab Rep._Poverty headcount ratio at national poverty line (% of population)</v>
      </c>
      <c r="B418" t="s">
        <v>467</v>
      </c>
      <c r="C418" t="s">
        <v>468</v>
      </c>
      <c r="D418" t="s">
        <v>408</v>
      </c>
      <c r="E418" t="s">
        <v>409</v>
      </c>
      <c r="F418">
        <v>22.9</v>
      </c>
      <c r="G418" t="s">
        <v>193</v>
      </c>
      <c r="H418" t="s">
        <v>193</v>
      </c>
      <c r="I418" t="s">
        <v>193</v>
      </c>
      <c r="J418">
        <v>16.7</v>
      </c>
      <c r="K418" t="s">
        <v>193</v>
      </c>
      <c r="L418" t="s">
        <v>193</v>
      </c>
      <c r="M418" t="s">
        <v>193</v>
      </c>
      <c r="N418" t="s">
        <v>193</v>
      </c>
      <c r="O418" t="s">
        <v>193</v>
      </c>
      <c r="P418" t="s">
        <v>193</v>
      </c>
    </row>
    <row r="419" spans="1:16" ht="12.75">
      <c r="A419" s="62" t="str">
        <f t="shared" si="6"/>
        <v>Egypt, Arab Rep._Poverty headcount ratio at $2 a day (PPP) (% of population)</v>
      </c>
      <c r="B419" t="s">
        <v>467</v>
      </c>
      <c r="C419" t="s">
        <v>468</v>
      </c>
      <c r="D419" t="s">
        <v>410</v>
      </c>
      <c r="E419" t="s">
        <v>411</v>
      </c>
      <c r="F419" t="s">
        <v>193</v>
      </c>
      <c r="G419" t="s">
        <v>193</v>
      </c>
      <c r="H419" t="s">
        <v>193</v>
      </c>
      <c r="I419" t="s">
        <v>193</v>
      </c>
      <c r="J419">
        <v>43.89</v>
      </c>
      <c r="K419" t="s">
        <v>193</v>
      </c>
      <c r="L419" t="s">
        <v>193</v>
      </c>
      <c r="M419" t="s">
        <v>193</v>
      </c>
      <c r="N419" t="s">
        <v>193</v>
      </c>
      <c r="O419" t="s">
        <v>193</v>
      </c>
      <c r="P419" t="s">
        <v>193</v>
      </c>
    </row>
    <row r="420" spans="1:16" ht="12.75">
      <c r="A420" s="62" t="str">
        <f t="shared" si="6"/>
        <v>Egypt, Arab Rep._Poverty headcount ratio at $1 a day (PPP) (% of population)</v>
      </c>
      <c r="B420" t="s">
        <v>467</v>
      </c>
      <c r="C420" t="s">
        <v>468</v>
      </c>
      <c r="D420" t="s">
        <v>412</v>
      </c>
      <c r="E420" t="s">
        <v>413</v>
      </c>
      <c r="F420" t="s">
        <v>193</v>
      </c>
      <c r="G420" t="s">
        <v>193</v>
      </c>
      <c r="H420" t="s">
        <v>193</v>
      </c>
      <c r="I420" t="s">
        <v>193</v>
      </c>
      <c r="J420">
        <v>3.08</v>
      </c>
      <c r="K420" t="s">
        <v>193</v>
      </c>
      <c r="L420" t="s">
        <v>193</v>
      </c>
      <c r="M420" t="s">
        <v>193</v>
      </c>
      <c r="N420" t="s">
        <v>193</v>
      </c>
      <c r="O420" t="s">
        <v>193</v>
      </c>
      <c r="P420" t="s">
        <v>193</v>
      </c>
    </row>
    <row r="421" spans="1:16" ht="12.75">
      <c r="A421" s="62" t="str">
        <f t="shared" si="6"/>
        <v>Egypt, Arab Rep._Poverty gap at $1 a day (PPP) (%)</v>
      </c>
      <c r="B421" t="s">
        <v>467</v>
      </c>
      <c r="C421" t="s">
        <v>468</v>
      </c>
      <c r="D421" t="s">
        <v>414</v>
      </c>
      <c r="E421" t="s">
        <v>415</v>
      </c>
      <c r="F421" t="s">
        <v>193</v>
      </c>
      <c r="G421" t="s">
        <v>193</v>
      </c>
      <c r="H421" t="s">
        <v>193</v>
      </c>
      <c r="I421" t="s">
        <v>193</v>
      </c>
      <c r="J421">
        <v>0.5</v>
      </c>
      <c r="K421" t="s">
        <v>193</v>
      </c>
      <c r="L421" t="s">
        <v>193</v>
      </c>
      <c r="M421" t="s">
        <v>193</v>
      </c>
      <c r="N421" t="s">
        <v>193</v>
      </c>
      <c r="O421" t="s">
        <v>193</v>
      </c>
      <c r="P421" t="s">
        <v>193</v>
      </c>
    </row>
    <row r="422" spans="1:16" ht="12.75">
      <c r="A422" s="62" t="str">
        <f t="shared" si="6"/>
        <v>Egypt, Arab Rep._Poverty gap at $2 a day (PPP) (%)</v>
      </c>
      <c r="B422" t="s">
        <v>467</v>
      </c>
      <c r="C422" t="s">
        <v>468</v>
      </c>
      <c r="D422" t="s">
        <v>416</v>
      </c>
      <c r="E422" t="s">
        <v>417</v>
      </c>
      <c r="F422" t="s">
        <v>193</v>
      </c>
      <c r="G422" t="s">
        <v>193</v>
      </c>
      <c r="H422" t="s">
        <v>193</v>
      </c>
      <c r="I422" t="s">
        <v>193</v>
      </c>
      <c r="J422">
        <v>11.331</v>
      </c>
      <c r="K422" t="s">
        <v>193</v>
      </c>
      <c r="L422" t="s">
        <v>193</v>
      </c>
      <c r="M422" t="s">
        <v>193</v>
      </c>
      <c r="N422" t="s">
        <v>193</v>
      </c>
      <c r="O422" t="s">
        <v>193</v>
      </c>
      <c r="P422" t="s">
        <v>193</v>
      </c>
    </row>
    <row r="423" spans="1:16" ht="12.75">
      <c r="A423" s="62" t="str">
        <f t="shared" si="6"/>
        <v>Egypt, Arab Rep._Population, total</v>
      </c>
      <c r="B423" t="s">
        <v>467</v>
      </c>
      <c r="C423" t="s">
        <v>468</v>
      </c>
      <c r="D423" t="s">
        <v>418</v>
      </c>
      <c r="E423" t="s">
        <v>419</v>
      </c>
      <c r="F423">
        <v>62379229</v>
      </c>
      <c r="G423">
        <v>63562001</v>
      </c>
      <c r="H423">
        <v>64774391</v>
      </c>
      <c r="I423">
        <v>66015831</v>
      </c>
      <c r="J423">
        <v>67285498</v>
      </c>
      <c r="K423">
        <v>68584543</v>
      </c>
      <c r="L423">
        <v>69913084</v>
      </c>
      <c r="M423">
        <v>71267403</v>
      </c>
      <c r="N423">
        <v>72642223</v>
      </c>
      <c r="O423">
        <v>74032883.9999999</v>
      </c>
      <c r="P423">
        <v>75396909.3495383</v>
      </c>
    </row>
    <row r="424" spans="1:16" ht="12.75">
      <c r="A424" s="62" t="str">
        <f t="shared" si="6"/>
        <v>Egypt, Arab Rep._Public spending on education, total (% of GDP)</v>
      </c>
      <c r="B424" t="s">
        <v>467</v>
      </c>
      <c r="C424" t="s">
        <v>468</v>
      </c>
      <c r="D424" t="s">
        <v>420</v>
      </c>
      <c r="E424" t="s">
        <v>421</v>
      </c>
      <c r="F424" t="s">
        <v>193</v>
      </c>
      <c r="G424" t="s">
        <v>193</v>
      </c>
      <c r="H424" t="s">
        <v>193</v>
      </c>
      <c r="I424" t="s">
        <v>193</v>
      </c>
      <c r="J424" t="s">
        <v>193</v>
      </c>
      <c r="K424" t="s">
        <v>193</v>
      </c>
      <c r="L424" t="s">
        <v>193</v>
      </c>
      <c r="M424" t="s">
        <v>193</v>
      </c>
      <c r="N424" t="s">
        <v>193</v>
      </c>
      <c r="O424" t="s">
        <v>193</v>
      </c>
      <c r="P424" t="s">
        <v>193</v>
      </c>
    </row>
    <row r="425" spans="1:16" ht="12.75">
      <c r="A425" s="62" t="str">
        <f t="shared" si="6"/>
        <v>Egypt, Arab Rep._Public spending on education, total (% of government expenditure)</v>
      </c>
      <c r="B425" t="s">
        <v>467</v>
      </c>
      <c r="C425" t="s">
        <v>468</v>
      </c>
      <c r="D425" t="s">
        <v>422</v>
      </c>
      <c r="E425" t="s">
        <v>423</v>
      </c>
      <c r="F425" t="s">
        <v>193</v>
      </c>
      <c r="G425" t="s">
        <v>193</v>
      </c>
      <c r="H425" t="s">
        <v>193</v>
      </c>
      <c r="I425" t="s">
        <v>193</v>
      </c>
      <c r="J425" t="s">
        <v>193</v>
      </c>
      <c r="K425" t="s">
        <v>193</v>
      </c>
      <c r="L425" t="s">
        <v>193</v>
      </c>
      <c r="M425" t="s">
        <v>193</v>
      </c>
      <c r="N425" t="s">
        <v>193</v>
      </c>
      <c r="O425" t="s">
        <v>193</v>
      </c>
      <c r="P425" t="s">
        <v>193</v>
      </c>
    </row>
    <row r="426" spans="1:16" ht="12.75">
      <c r="A426" s="62" t="str">
        <f t="shared" si="6"/>
        <v>Egypt, Arab Rep._Health expenditure, public (% of total health expenditure)</v>
      </c>
      <c r="B426" t="s">
        <v>467</v>
      </c>
      <c r="C426" t="s">
        <v>468</v>
      </c>
      <c r="D426" t="s">
        <v>424</v>
      </c>
      <c r="E426" t="s">
        <v>425</v>
      </c>
      <c r="F426">
        <v>50</v>
      </c>
      <c r="G426">
        <v>46</v>
      </c>
      <c r="H426">
        <v>44</v>
      </c>
      <c r="I426">
        <v>42</v>
      </c>
      <c r="J426">
        <v>42</v>
      </c>
      <c r="K426">
        <v>39</v>
      </c>
      <c r="L426">
        <v>40</v>
      </c>
      <c r="M426">
        <v>38</v>
      </c>
      <c r="N426">
        <v>37</v>
      </c>
      <c r="O426" t="s">
        <v>193</v>
      </c>
      <c r="P426" t="s">
        <v>193</v>
      </c>
    </row>
    <row r="427" spans="1:16" ht="12.75">
      <c r="A427" s="62" t="str">
        <f t="shared" si="6"/>
        <v>Egypt, Arab Rep._Health expenditure, public (% of GDP)</v>
      </c>
      <c r="B427" t="s">
        <v>467</v>
      </c>
      <c r="C427" t="s">
        <v>468</v>
      </c>
      <c r="D427" t="s">
        <v>426</v>
      </c>
      <c r="E427" t="s">
        <v>427</v>
      </c>
      <c r="F427">
        <v>1.9</v>
      </c>
      <c r="G427">
        <v>1.886</v>
      </c>
      <c r="H427">
        <v>2.068</v>
      </c>
      <c r="I427">
        <v>2.142</v>
      </c>
      <c r="J427">
        <v>2.268</v>
      </c>
      <c r="K427">
        <v>2.184</v>
      </c>
      <c r="L427">
        <v>2.4</v>
      </c>
      <c r="M427">
        <v>2.242</v>
      </c>
      <c r="N427">
        <v>2.183</v>
      </c>
      <c r="O427" t="s">
        <v>193</v>
      </c>
      <c r="P427" t="s">
        <v>193</v>
      </c>
    </row>
    <row r="428" spans="1:16" ht="12.75">
      <c r="A428" s="62" t="str">
        <f t="shared" si="6"/>
        <v>Egypt, Arab Rep._Health expenditure, total (% of GDP)</v>
      </c>
      <c r="B428" t="s">
        <v>467</v>
      </c>
      <c r="C428" t="s">
        <v>468</v>
      </c>
      <c r="D428" t="s">
        <v>428</v>
      </c>
      <c r="E428" t="s">
        <v>429</v>
      </c>
      <c r="F428">
        <v>3.8</v>
      </c>
      <c r="G428">
        <v>4.1</v>
      </c>
      <c r="H428">
        <v>4.7</v>
      </c>
      <c r="I428">
        <v>5.1</v>
      </c>
      <c r="J428">
        <v>5.4</v>
      </c>
      <c r="K428">
        <v>5.6</v>
      </c>
      <c r="L428">
        <v>6</v>
      </c>
      <c r="M428">
        <v>5.9</v>
      </c>
      <c r="N428">
        <v>5.9</v>
      </c>
      <c r="O428" t="s">
        <v>193</v>
      </c>
      <c r="P428" t="s">
        <v>193</v>
      </c>
    </row>
    <row r="429" spans="1:16" ht="12.75">
      <c r="A429" s="62" t="str">
        <f t="shared" si="6"/>
        <v>Egypt, Arab Rep._GDP (current LCU)</v>
      </c>
      <c r="B429" t="s">
        <v>467</v>
      </c>
      <c r="C429" t="s">
        <v>468</v>
      </c>
      <c r="D429" t="s">
        <v>430</v>
      </c>
      <c r="E429" t="s">
        <v>431</v>
      </c>
      <c r="F429">
        <v>229400002560</v>
      </c>
      <c r="G429">
        <v>265899999232</v>
      </c>
      <c r="H429">
        <v>287400001536</v>
      </c>
      <c r="I429">
        <v>307599998976</v>
      </c>
      <c r="J429">
        <v>340099989504</v>
      </c>
      <c r="K429">
        <v>358699991040</v>
      </c>
      <c r="L429">
        <v>378899988480</v>
      </c>
      <c r="M429">
        <v>417500004352</v>
      </c>
      <c r="N429">
        <v>485300011008</v>
      </c>
      <c r="O429">
        <v>538500005888</v>
      </c>
      <c r="P429">
        <v>617699999744</v>
      </c>
    </row>
    <row r="430" spans="1:16" ht="12.75">
      <c r="A430" s="62" t="str">
        <f t="shared" si="6"/>
        <v>Egypt, Arab Rep._GDP (current US$)</v>
      </c>
      <c r="B430" t="s">
        <v>467</v>
      </c>
      <c r="C430" t="s">
        <v>468</v>
      </c>
      <c r="D430" t="s">
        <v>432</v>
      </c>
      <c r="E430" t="s">
        <v>433</v>
      </c>
      <c r="F430">
        <v>67629719552</v>
      </c>
      <c r="G430">
        <v>78436573184</v>
      </c>
      <c r="H430">
        <v>84828807168</v>
      </c>
      <c r="I430">
        <v>90710704128</v>
      </c>
      <c r="J430">
        <v>99838541824</v>
      </c>
      <c r="K430">
        <v>97632010240</v>
      </c>
      <c r="L430">
        <v>87850680320</v>
      </c>
      <c r="M430">
        <v>82923683840</v>
      </c>
      <c r="N430">
        <v>78845181952</v>
      </c>
      <c r="O430">
        <v>89685729280</v>
      </c>
      <c r="P430">
        <v>107484037120</v>
      </c>
    </row>
    <row r="431" spans="1:16" ht="12.75">
      <c r="A431" s="62" t="str">
        <f t="shared" si="6"/>
        <v>Egypt, Arab Rep._GDP per capita, PPP (current international $)</v>
      </c>
      <c r="B431" t="s">
        <v>467</v>
      </c>
      <c r="C431" t="s">
        <v>468</v>
      </c>
      <c r="D431" t="s">
        <v>434</v>
      </c>
      <c r="E431" t="s">
        <v>435</v>
      </c>
      <c r="F431">
        <v>2909.66194016305</v>
      </c>
      <c r="G431">
        <v>3062.6706751714</v>
      </c>
      <c r="H431">
        <v>3161.01796370764</v>
      </c>
      <c r="I431">
        <v>3338.63187925535</v>
      </c>
      <c r="J431">
        <v>3527.21761224437</v>
      </c>
      <c r="K431">
        <v>3668.64933470034</v>
      </c>
      <c r="L431">
        <v>3778.56434370956</v>
      </c>
      <c r="M431">
        <v>3899.75986295215</v>
      </c>
      <c r="N431">
        <v>4090.39295061377</v>
      </c>
      <c r="O431">
        <v>4320.69116414283</v>
      </c>
      <c r="P431">
        <v>4663.67312142571</v>
      </c>
    </row>
    <row r="432" spans="1:16" ht="12.75">
      <c r="A432" s="62" t="str">
        <f t="shared" si="6"/>
        <v>Egypt, Arab Rep._GDP per capita, PPP (constant 2000 international $)</v>
      </c>
      <c r="B432" t="s">
        <v>467</v>
      </c>
      <c r="C432" t="s">
        <v>468</v>
      </c>
      <c r="D432" t="s">
        <v>436</v>
      </c>
      <c r="E432" t="s">
        <v>437</v>
      </c>
      <c r="F432">
        <v>3100.49566660163</v>
      </c>
      <c r="G432">
        <v>3209.9226257081</v>
      </c>
      <c r="H432">
        <v>3276.59419234466</v>
      </c>
      <c r="I432">
        <v>3411.40922422906</v>
      </c>
      <c r="J432">
        <v>3527.21761224437</v>
      </c>
      <c r="K432">
        <v>3582.35723019612</v>
      </c>
      <c r="L432">
        <v>3626.22598626985</v>
      </c>
      <c r="M432">
        <v>3667.88528207761</v>
      </c>
      <c r="N432">
        <v>3748.8149429819</v>
      </c>
      <c r="O432">
        <v>3843.93123673108</v>
      </c>
      <c r="P432">
        <v>4031.03308798369</v>
      </c>
    </row>
    <row r="433" spans="1:16" ht="12.75">
      <c r="A433" s="62" t="str">
        <f t="shared" si="6"/>
        <v>Egypt, Arab Rep._GINI index</v>
      </c>
      <c r="B433" t="s">
        <v>467</v>
      </c>
      <c r="C433" t="s">
        <v>468</v>
      </c>
      <c r="D433" t="s">
        <v>438</v>
      </c>
      <c r="E433" t="s">
        <v>439</v>
      </c>
      <c r="F433" t="s">
        <v>193</v>
      </c>
      <c r="G433" t="s">
        <v>193</v>
      </c>
      <c r="H433" t="s">
        <v>193</v>
      </c>
      <c r="I433" t="s">
        <v>193</v>
      </c>
      <c r="J433">
        <v>34.41</v>
      </c>
      <c r="K433" t="s">
        <v>193</v>
      </c>
      <c r="L433" t="s">
        <v>193</v>
      </c>
      <c r="M433" t="s">
        <v>193</v>
      </c>
      <c r="N433" t="s">
        <v>193</v>
      </c>
      <c r="O433" t="s">
        <v>193</v>
      </c>
      <c r="P433" t="s">
        <v>193</v>
      </c>
    </row>
    <row r="434" spans="1:16" ht="12.75">
      <c r="A434" s="62" t="str">
        <f t="shared" si="6"/>
        <v>El Salvador_Poverty headcount ratio at national poverty line (% of population)</v>
      </c>
      <c r="B434" t="s">
        <v>469</v>
      </c>
      <c r="C434" t="s">
        <v>127</v>
      </c>
      <c r="D434" t="s">
        <v>408</v>
      </c>
      <c r="E434" t="s">
        <v>409</v>
      </c>
      <c r="F434" t="s">
        <v>193</v>
      </c>
      <c r="G434" t="s">
        <v>193</v>
      </c>
      <c r="H434" t="s">
        <v>193</v>
      </c>
      <c r="I434" t="s">
        <v>193</v>
      </c>
      <c r="J434" t="s">
        <v>193</v>
      </c>
      <c r="K434" t="s">
        <v>193</v>
      </c>
      <c r="L434">
        <v>37.2</v>
      </c>
      <c r="M434" t="s">
        <v>193</v>
      </c>
      <c r="N434" t="s">
        <v>193</v>
      </c>
      <c r="O434" t="s">
        <v>193</v>
      </c>
      <c r="P434" t="s">
        <v>193</v>
      </c>
    </row>
    <row r="435" spans="1:16" ht="12.75">
      <c r="A435" s="62" t="str">
        <f aca="true" t="shared" si="7" ref="A435:A498">C435&amp;"_"&amp;E435</f>
        <v>El Salvador_Poverty headcount ratio at $2 a day (PPP) (% of population)</v>
      </c>
      <c r="B435" t="s">
        <v>469</v>
      </c>
      <c r="C435" t="s">
        <v>127</v>
      </c>
      <c r="D435" t="s">
        <v>410</v>
      </c>
      <c r="E435" t="s">
        <v>411</v>
      </c>
      <c r="F435">
        <v>51.92</v>
      </c>
      <c r="G435" t="s">
        <v>193</v>
      </c>
      <c r="H435">
        <v>44.96</v>
      </c>
      <c r="I435" t="s">
        <v>193</v>
      </c>
      <c r="J435">
        <v>39.17</v>
      </c>
      <c r="K435" t="s">
        <v>193</v>
      </c>
      <c r="L435">
        <v>40.55</v>
      </c>
      <c r="M435" t="s">
        <v>193</v>
      </c>
      <c r="N435" t="s">
        <v>193</v>
      </c>
      <c r="O435" t="s">
        <v>193</v>
      </c>
      <c r="P435" t="s">
        <v>193</v>
      </c>
    </row>
    <row r="436" spans="1:16" ht="12.75">
      <c r="A436" s="62" t="str">
        <f t="shared" si="7"/>
        <v>El Salvador_Poverty headcount ratio at $1 a day (PPP) (% of population)</v>
      </c>
      <c r="B436" t="s">
        <v>469</v>
      </c>
      <c r="C436" t="s">
        <v>127</v>
      </c>
      <c r="D436" t="s">
        <v>412</v>
      </c>
      <c r="E436" t="s">
        <v>413</v>
      </c>
      <c r="F436">
        <v>25.26</v>
      </c>
      <c r="G436" t="s">
        <v>193</v>
      </c>
      <c r="H436">
        <v>21.39</v>
      </c>
      <c r="I436" t="s">
        <v>193</v>
      </c>
      <c r="J436">
        <v>18.94</v>
      </c>
      <c r="K436" t="s">
        <v>193</v>
      </c>
      <c r="L436">
        <v>19.04</v>
      </c>
      <c r="M436" t="s">
        <v>193</v>
      </c>
      <c r="N436" t="s">
        <v>193</v>
      </c>
      <c r="O436" t="s">
        <v>193</v>
      </c>
      <c r="P436" t="s">
        <v>193</v>
      </c>
    </row>
    <row r="437" spans="1:16" ht="12.75">
      <c r="A437" s="62" t="str">
        <f t="shared" si="7"/>
        <v>El Salvador_Poverty gap at $1 a day (PPP) (%)</v>
      </c>
      <c r="B437" t="s">
        <v>469</v>
      </c>
      <c r="C437" t="s">
        <v>127</v>
      </c>
      <c r="D437" t="s">
        <v>414</v>
      </c>
      <c r="E437" t="s">
        <v>415</v>
      </c>
      <c r="F437">
        <v>10.35</v>
      </c>
      <c r="G437" t="s">
        <v>193</v>
      </c>
      <c r="H437">
        <v>7.94</v>
      </c>
      <c r="I437" t="s">
        <v>193</v>
      </c>
      <c r="J437">
        <v>8.54</v>
      </c>
      <c r="K437" t="s">
        <v>193</v>
      </c>
      <c r="L437">
        <v>9.346</v>
      </c>
      <c r="M437" t="s">
        <v>193</v>
      </c>
      <c r="N437" t="s">
        <v>193</v>
      </c>
      <c r="O437" t="s">
        <v>193</v>
      </c>
      <c r="P437" t="s">
        <v>193</v>
      </c>
    </row>
    <row r="438" spans="1:16" ht="12.75">
      <c r="A438" s="62" t="str">
        <f t="shared" si="7"/>
        <v>El Salvador_Poverty gap at $2 a day (PPP) (%)</v>
      </c>
      <c r="B438" t="s">
        <v>469</v>
      </c>
      <c r="C438" t="s">
        <v>127</v>
      </c>
      <c r="D438" t="s">
        <v>416</v>
      </c>
      <c r="E438" t="s">
        <v>417</v>
      </c>
      <c r="F438">
        <v>24.66</v>
      </c>
      <c r="G438" t="s">
        <v>193</v>
      </c>
      <c r="H438">
        <v>20.87</v>
      </c>
      <c r="I438" t="s">
        <v>193</v>
      </c>
      <c r="J438">
        <v>18.59</v>
      </c>
      <c r="K438" t="s">
        <v>193</v>
      </c>
      <c r="L438">
        <v>17.73</v>
      </c>
      <c r="M438" t="s">
        <v>193</v>
      </c>
      <c r="N438" t="s">
        <v>193</v>
      </c>
      <c r="O438" t="s">
        <v>193</v>
      </c>
      <c r="P438" t="s">
        <v>193</v>
      </c>
    </row>
    <row r="439" spans="1:16" ht="12.75">
      <c r="A439" s="62" t="str">
        <f t="shared" si="7"/>
        <v>El Salvador_Population, total</v>
      </c>
      <c r="B439" t="s">
        <v>469</v>
      </c>
      <c r="C439" t="s">
        <v>127</v>
      </c>
      <c r="D439" t="s">
        <v>418</v>
      </c>
      <c r="E439" t="s">
        <v>419</v>
      </c>
      <c r="F439">
        <v>5790090</v>
      </c>
      <c r="G439">
        <v>5912415</v>
      </c>
      <c r="H439">
        <v>6035093</v>
      </c>
      <c r="I439">
        <v>6157863</v>
      </c>
      <c r="J439">
        <v>6280482</v>
      </c>
      <c r="K439">
        <v>6402452</v>
      </c>
      <c r="L439">
        <v>6523374</v>
      </c>
      <c r="M439">
        <v>6643296</v>
      </c>
      <c r="N439">
        <v>6762439</v>
      </c>
      <c r="O439">
        <v>6880951</v>
      </c>
      <c r="P439">
        <v>6991735.59648022</v>
      </c>
    </row>
    <row r="440" spans="1:16" ht="12.75">
      <c r="A440" s="62" t="str">
        <f t="shared" si="7"/>
        <v>El Salvador_Public spending on education, total (% of GDP)</v>
      </c>
      <c r="B440" t="s">
        <v>469</v>
      </c>
      <c r="C440" t="s">
        <v>127</v>
      </c>
      <c r="D440" t="s">
        <v>420</v>
      </c>
      <c r="E440" t="s">
        <v>421</v>
      </c>
      <c r="F440" t="s">
        <v>193</v>
      </c>
      <c r="G440" t="s">
        <v>193</v>
      </c>
      <c r="H440" t="s">
        <v>193</v>
      </c>
      <c r="I440">
        <v>2.31992420767581</v>
      </c>
      <c r="J440">
        <v>2.54707979343304</v>
      </c>
      <c r="K440">
        <v>2.54707979356368</v>
      </c>
      <c r="L440">
        <v>2.87053808168795</v>
      </c>
      <c r="M440">
        <v>2.75909261909316</v>
      </c>
      <c r="N440" t="s">
        <v>193</v>
      </c>
      <c r="O440">
        <v>2.7517444708246</v>
      </c>
      <c r="P440" t="s">
        <v>193</v>
      </c>
    </row>
    <row r="441" spans="1:16" ht="12.75">
      <c r="A441" s="62" t="str">
        <f t="shared" si="7"/>
        <v>El Salvador_Public spending on education, total (% of government expenditure)</v>
      </c>
      <c r="B441" t="s">
        <v>469</v>
      </c>
      <c r="C441" t="s">
        <v>127</v>
      </c>
      <c r="D441" t="s">
        <v>422</v>
      </c>
      <c r="E441" t="s">
        <v>423</v>
      </c>
      <c r="F441" t="s">
        <v>193</v>
      </c>
      <c r="G441" t="s">
        <v>193</v>
      </c>
      <c r="H441" t="s">
        <v>193</v>
      </c>
      <c r="I441">
        <v>17.082780575467</v>
      </c>
      <c r="J441">
        <v>18.6000007625061</v>
      </c>
      <c r="K441">
        <v>19.9071756883587</v>
      </c>
      <c r="L441">
        <v>20</v>
      </c>
      <c r="M441" t="s">
        <v>193</v>
      </c>
      <c r="N441" t="s">
        <v>193</v>
      </c>
      <c r="O441" t="s">
        <v>193</v>
      </c>
      <c r="P441" t="s">
        <v>193</v>
      </c>
    </row>
    <row r="442" spans="1:16" ht="12.75">
      <c r="A442" s="62" t="str">
        <f t="shared" si="7"/>
        <v>El Salvador_Health expenditure, public (% of total health expenditure)</v>
      </c>
      <c r="B442" t="s">
        <v>469</v>
      </c>
      <c r="C442" t="s">
        <v>127</v>
      </c>
      <c r="D442" t="s">
        <v>424</v>
      </c>
      <c r="E442" t="s">
        <v>425</v>
      </c>
      <c r="F442" t="s">
        <v>193</v>
      </c>
      <c r="G442" t="s">
        <v>193</v>
      </c>
      <c r="H442" t="s">
        <v>193</v>
      </c>
      <c r="I442" t="s">
        <v>193</v>
      </c>
      <c r="J442">
        <v>45</v>
      </c>
      <c r="K442">
        <v>44.3</v>
      </c>
      <c r="L442">
        <v>44.7</v>
      </c>
      <c r="M442">
        <v>45.2</v>
      </c>
      <c r="N442">
        <v>44.4</v>
      </c>
      <c r="O442" t="s">
        <v>193</v>
      </c>
      <c r="P442" t="s">
        <v>193</v>
      </c>
    </row>
    <row r="443" spans="1:16" ht="12.75">
      <c r="A443" s="62" t="str">
        <f t="shared" si="7"/>
        <v>El Salvador_Health expenditure, public (% of GDP)</v>
      </c>
      <c r="B443" t="s">
        <v>469</v>
      </c>
      <c r="C443" t="s">
        <v>127</v>
      </c>
      <c r="D443" t="s">
        <v>426</v>
      </c>
      <c r="E443" t="s">
        <v>427</v>
      </c>
      <c r="F443" t="s">
        <v>193</v>
      </c>
      <c r="G443" t="s">
        <v>193</v>
      </c>
      <c r="H443" t="s">
        <v>193</v>
      </c>
      <c r="I443" t="s">
        <v>193</v>
      </c>
      <c r="J443">
        <v>3.6</v>
      </c>
      <c r="K443">
        <v>3.544</v>
      </c>
      <c r="L443">
        <v>3.576</v>
      </c>
      <c r="M443">
        <v>3.4352</v>
      </c>
      <c r="N443">
        <v>3.5076</v>
      </c>
      <c r="O443" t="s">
        <v>193</v>
      </c>
      <c r="P443" t="s">
        <v>193</v>
      </c>
    </row>
    <row r="444" spans="1:16" ht="12.75">
      <c r="A444" s="62" t="str">
        <f t="shared" si="7"/>
        <v>El Salvador_Health expenditure, total (% of GDP)</v>
      </c>
      <c r="B444" t="s">
        <v>469</v>
      </c>
      <c r="C444" t="s">
        <v>127</v>
      </c>
      <c r="D444" t="s">
        <v>428</v>
      </c>
      <c r="E444" t="s">
        <v>429</v>
      </c>
      <c r="F444" t="s">
        <v>193</v>
      </c>
      <c r="G444" t="s">
        <v>193</v>
      </c>
      <c r="H444" t="s">
        <v>193</v>
      </c>
      <c r="I444" t="s">
        <v>193</v>
      </c>
      <c r="J444">
        <v>8</v>
      </c>
      <c r="K444">
        <v>8</v>
      </c>
      <c r="L444">
        <v>8</v>
      </c>
      <c r="M444">
        <v>7.6</v>
      </c>
      <c r="N444">
        <v>7.9</v>
      </c>
      <c r="O444" t="s">
        <v>193</v>
      </c>
      <c r="P444" t="s">
        <v>193</v>
      </c>
    </row>
    <row r="445" spans="1:16" ht="12.75">
      <c r="A445" s="62" t="str">
        <f t="shared" si="7"/>
        <v>El Salvador_GDP (current LCU)</v>
      </c>
      <c r="B445" t="s">
        <v>469</v>
      </c>
      <c r="C445" t="s">
        <v>127</v>
      </c>
      <c r="D445" t="s">
        <v>430</v>
      </c>
      <c r="E445" t="s">
        <v>431</v>
      </c>
      <c r="F445">
        <v>10315542528</v>
      </c>
      <c r="G445">
        <v>11134716928</v>
      </c>
      <c r="H445">
        <v>12008418304</v>
      </c>
      <c r="I445">
        <v>12464655360</v>
      </c>
      <c r="J445">
        <v>13134147584</v>
      </c>
      <c r="K445">
        <v>13812744192</v>
      </c>
      <c r="L445">
        <v>14306700288</v>
      </c>
      <c r="M445">
        <v>15046700032</v>
      </c>
      <c r="N445">
        <v>15821599744</v>
      </c>
      <c r="O445">
        <v>16974000128</v>
      </c>
      <c r="P445">
        <v>18306152448</v>
      </c>
    </row>
    <row r="446" spans="1:16" ht="12.75">
      <c r="A446" s="62" t="str">
        <f t="shared" si="7"/>
        <v>El Salvador_GDP (current US$)</v>
      </c>
      <c r="B446" t="s">
        <v>469</v>
      </c>
      <c r="C446" t="s">
        <v>127</v>
      </c>
      <c r="D446" t="s">
        <v>432</v>
      </c>
      <c r="E446" t="s">
        <v>433</v>
      </c>
      <c r="F446">
        <v>10315542528</v>
      </c>
      <c r="G446">
        <v>11134716928</v>
      </c>
      <c r="H446">
        <v>12008418304</v>
      </c>
      <c r="I446">
        <v>12464655360</v>
      </c>
      <c r="J446">
        <v>13134147584</v>
      </c>
      <c r="K446">
        <v>13812744192</v>
      </c>
      <c r="L446">
        <v>14306700288</v>
      </c>
      <c r="M446">
        <v>15046700032</v>
      </c>
      <c r="N446">
        <v>15821599744</v>
      </c>
      <c r="O446">
        <v>16974000128</v>
      </c>
      <c r="P446">
        <v>18306152448</v>
      </c>
    </row>
    <row r="447" spans="1:16" ht="12.75">
      <c r="A447" s="62" t="str">
        <f t="shared" si="7"/>
        <v>El Salvador_GDP per capita, PPP (current international $)</v>
      </c>
      <c r="B447" t="s">
        <v>469</v>
      </c>
      <c r="C447" t="s">
        <v>127</v>
      </c>
      <c r="D447" t="s">
        <v>434</v>
      </c>
      <c r="E447" t="s">
        <v>435</v>
      </c>
      <c r="F447">
        <v>4093.99951332529</v>
      </c>
      <c r="G447">
        <v>4249.34348295413</v>
      </c>
      <c r="H447">
        <v>4367.04017322475</v>
      </c>
      <c r="I447">
        <v>4491.5608704943</v>
      </c>
      <c r="J447">
        <v>4596.74290215997</v>
      </c>
      <c r="K447">
        <v>4696.71917790884</v>
      </c>
      <c r="L447">
        <v>4800.09121932787</v>
      </c>
      <c r="M447">
        <v>4919.98915501708</v>
      </c>
      <c r="N447">
        <v>5051.11746829815</v>
      </c>
      <c r="O447">
        <v>5254.57041758866</v>
      </c>
      <c r="P447">
        <v>5524.99840401588</v>
      </c>
    </row>
    <row r="448" spans="1:16" ht="12.75">
      <c r="A448" s="62" t="str">
        <f t="shared" si="7"/>
        <v>El Salvador_GDP per capita, PPP (constant 2000 international $)</v>
      </c>
      <c r="B448" t="s">
        <v>469</v>
      </c>
      <c r="C448" t="s">
        <v>127</v>
      </c>
      <c r="D448" t="s">
        <v>436</v>
      </c>
      <c r="E448" t="s">
        <v>437</v>
      </c>
      <c r="F448">
        <v>4362.50946370181</v>
      </c>
      <c r="G448">
        <v>4453.65017561882</v>
      </c>
      <c r="H448">
        <v>4526.71216475486</v>
      </c>
      <c r="I448">
        <v>4589.47039953627</v>
      </c>
      <c r="J448">
        <v>4596.74290215997</v>
      </c>
      <c r="K448">
        <v>4586.24533722486</v>
      </c>
      <c r="L448">
        <v>4606.56850927253</v>
      </c>
      <c r="M448">
        <v>4627.45308527989</v>
      </c>
      <c r="N448">
        <v>4629.31187114228</v>
      </c>
      <c r="O448">
        <v>4674.76304055144</v>
      </c>
      <c r="P448">
        <v>4775.51723668759</v>
      </c>
    </row>
    <row r="449" spans="1:16" ht="12.75">
      <c r="A449" s="62" t="str">
        <f t="shared" si="7"/>
        <v>El Salvador_GINI index</v>
      </c>
      <c r="B449" t="s">
        <v>469</v>
      </c>
      <c r="C449" t="s">
        <v>127</v>
      </c>
      <c r="D449" t="s">
        <v>438</v>
      </c>
      <c r="E449" t="s">
        <v>439</v>
      </c>
      <c r="F449">
        <v>52.25</v>
      </c>
      <c r="G449" t="s">
        <v>193</v>
      </c>
      <c r="H449">
        <v>52.17</v>
      </c>
      <c r="I449" t="s">
        <v>193</v>
      </c>
      <c r="J449">
        <v>51.92</v>
      </c>
      <c r="K449" t="s">
        <v>193</v>
      </c>
      <c r="L449">
        <v>52.357</v>
      </c>
      <c r="M449" t="s">
        <v>193</v>
      </c>
      <c r="N449" t="s">
        <v>193</v>
      </c>
      <c r="O449" t="s">
        <v>193</v>
      </c>
      <c r="P449" t="s">
        <v>193</v>
      </c>
    </row>
    <row r="450" spans="1:16" ht="12.75">
      <c r="A450" s="62" t="str">
        <f t="shared" si="7"/>
        <v>Ethiopia_Poverty headcount ratio at national poverty line (% of population)</v>
      </c>
      <c r="B450" t="s">
        <v>470</v>
      </c>
      <c r="C450" t="s">
        <v>274</v>
      </c>
      <c r="D450" t="s">
        <v>408</v>
      </c>
      <c r="E450" t="s">
        <v>409</v>
      </c>
      <c r="F450">
        <v>45.5</v>
      </c>
      <c r="G450" t="s">
        <v>193</v>
      </c>
      <c r="H450" t="s">
        <v>193</v>
      </c>
      <c r="I450" t="s">
        <v>193</v>
      </c>
      <c r="J450">
        <v>44.2</v>
      </c>
      <c r="K450" t="s">
        <v>193</v>
      </c>
      <c r="L450" t="s">
        <v>193</v>
      </c>
      <c r="M450" t="s">
        <v>193</v>
      </c>
      <c r="N450" t="s">
        <v>193</v>
      </c>
      <c r="O450" t="s">
        <v>193</v>
      </c>
      <c r="P450" t="s">
        <v>193</v>
      </c>
    </row>
    <row r="451" spans="1:16" ht="12.75">
      <c r="A451" s="62" t="str">
        <f t="shared" si="7"/>
        <v>Ethiopia_Poverty headcount ratio at $2 a day (PPP) (% of population)</v>
      </c>
      <c r="B451" t="s">
        <v>470</v>
      </c>
      <c r="C451" t="s">
        <v>274</v>
      </c>
      <c r="D451" t="s">
        <v>410</v>
      </c>
      <c r="E451" t="s">
        <v>411</v>
      </c>
      <c r="F451" t="s">
        <v>193</v>
      </c>
      <c r="G451" t="s">
        <v>193</v>
      </c>
      <c r="H451" t="s">
        <v>193</v>
      </c>
      <c r="I451" t="s">
        <v>193</v>
      </c>
      <c r="J451">
        <v>77.8</v>
      </c>
      <c r="K451" t="s">
        <v>193</v>
      </c>
      <c r="L451" t="s">
        <v>193</v>
      </c>
      <c r="M451" t="s">
        <v>193</v>
      </c>
      <c r="N451" t="s">
        <v>193</v>
      </c>
      <c r="O451" t="s">
        <v>193</v>
      </c>
      <c r="P451" t="s">
        <v>193</v>
      </c>
    </row>
    <row r="452" spans="1:16" ht="12.75">
      <c r="A452" s="62" t="str">
        <f t="shared" si="7"/>
        <v>Ethiopia_Poverty headcount ratio at $1 a day (PPP) (% of population)</v>
      </c>
      <c r="B452" t="s">
        <v>470</v>
      </c>
      <c r="C452" t="s">
        <v>274</v>
      </c>
      <c r="D452" t="s">
        <v>412</v>
      </c>
      <c r="E452" t="s">
        <v>413</v>
      </c>
      <c r="F452" t="s">
        <v>193</v>
      </c>
      <c r="G452" t="s">
        <v>193</v>
      </c>
      <c r="H452" t="s">
        <v>193</v>
      </c>
      <c r="I452" t="s">
        <v>193</v>
      </c>
      <c r="J452">
        <v>22.98</v>
      </c>
      <c r="K452" t="s">
        <v>193</v>
      </c>
      <c r="L452" t="s">
        <v>193</v>
      </c>
      <c r="M452" t="s">
        <v>193</v>
      </c>
      <c r="N452" t="s">
        <v>193</v>
      </c>
      <c r="O452" t="s">
        <v>193</v>
      </c>
      <c r="P452" t="s">
        <v>193</v>
      </c>
    </row>
    <row r="453" spans="1:16" ht="12.75">
      <c r="A453" s="62" t="str">
        <f t="shared" si="7"/>
        <v>Ethiopia_Poverty gap at $1 a day (PPP) (%)</v>
      </c>
      <c r="B453" t="s">
        <v>470</v>
      </c>
      <c r="C453" t="s">
        <v>274</v>
      </c>
      <c r="D453" t="s">
        <v>414</v>
      </c>
      <c r="E453" t="s">
        <v>415</v>
      </c>
      <c r="F453" t="s">
        <v>193</v>
      </c>
      <c r="G453" t="s">
        <v>193</v>
      </c>
      <c r="H453" t="s">
        <v>193</v>
      </c>
      <c r="I453" t="s">
        <v>193</v>
      </c>
      <c r="J453">
        <v>4.8</v>
      </c>
      <c r="K453" t="s">
        <v>193</v>
      </c>
      <c r="L453" t="s">
        <v>193</v>
      </c>
      <c r="M453" t="s">
        <v>193</v>
      </c>
      <c r="N453" t="s">
        <v>193</v>
      </c>
      <c r="O453" t="s">
        <v>193</v>
      </c>
      <c r="P453" t="s">
        <v>193</v>
      </c>
    </row>
    <row r="454" spans="1:16" ht="12.75">
      <c r="A454" s="62" t="str">
        <f t="shared" si="7"/>
        <v>Ethiopia_Poverty gap at $2 a day (PPP) (%)</v>
      </c>
      <c r="B454" t="s">
        <v>470</v>
      </c>
      <c r="C454" t="s">
        <v>274</v>
      </c>
      <c r="D454" t="s">
        <v>416</v>
      </c>
      <c r="E454" t="s">
        <v>417</v>
      </c>
      <c r="F454" t="s">
        <v>193</v>
      </c>
      <c r="G454" t="s">
        <v>193</v>
      </c>
      <c r="H454" t="s">
        <v>193</v>
      </c>
      <c r="I454" t="s">
        <v>193</v>
      </c>
      <c r="J454">
        <v>29.6</v>
      </c>
      <c r="K454" t="s">
        <v>193</v>
      </c>
      <c r="L454" t="s">
        <v>193</v>
      </c>
      <c r="M454" t="s">
        <v>193</v>
      </c>
      <c r="N454" t="s">
        <v>193</v>
      </c>
      <c r="O454" t="s">
        <v>193</v>
      </c>
      <c r="P454" t="s">
        <v>193</v>
      </c>
    </row>
    <row r="455" spans="1:16" ht="12.75">
      <c r="A455" s="62" t="str">
        <f t="shared" si="7"/>
        <v>Ethiopia_Population, total</v>
      </c>
      <c r="B455" t="s">
        <v>470</v>
      </c>
      <c r="C455" t="s">
        <v>274</v>
      </c>
      <c r="D455" t="s">
        <v>418</v>
      </c>
      <c r="E455" t="s">
        <v>419</v>
      </c>
      <c r="F455">
        <v>58234000</v>
      </c>
      <c r="G455">
        <v>59750000</v>
      </c>
      <c r="H455">
        <v>61266000</v>
      </c>
      <c r="I455">
        <v>62782000</v>
      </c>
      <c r="J455">
        <v>64298000</v>
      </c>
      <c r="K455">
        <v>65777991.417828</v>
      </c>
      <c r="L455">
        <v>67217843.7885662</v>
      </c>
      <c r="M455">
        <v>68613468.1900841</v>
      </c>
      <c r="N455">
        <v>69960836.3795673</v>
      </c>
      <c r="O455">
        <v>71256000</v>
      </c>
      <c r="P455">
        <v>72711510.9443113</v>
      </c>
    </row>
    <row r="456" spans="1:16" ht="12.75">
      <c r="A456" s="62" t="str">
        <f t="shared" si="7"/>
        <v>Ethiopia_Public spending on education, total (% of GDP)</v>
      </c>
      <c r="B456" t="s">
        <v>470</v>
      </c>
      <c r="C456" t="s">
        <v>274</v>
      </c>
      <c r="D456" t="s">
        <v>420</v>
      </c>
      <c r="E456" t="s">
        <v>421</v>
      </c>
      <c r="F456" t="s">
        <v>193</v>
      </c>
      <c r="G456" t="s">
        <v>193</v>
      </c>
      <c r="H456" t="s">
        <v>193</v>
      </c>
      <c r="I456">
        <v>3.59317313718301</v>
      </c>
      <c r="J456">
        <v>4.02375199761863</v>
      </c>
      <c r="K456">
        <v>3.88757756344152</v>
      </c>
      <c r="L456">
        <v>3.79060400011473</v>
      </c>
      <c r="M456">
        <v>4.8</v>
      </c>
      <c r="N456">
        <v>5</v>
      </c>
      <c r="O456">
        <v>5</v>
      </c>
      <c r="P456">
        <v>6.09376608335612</v>
      </c>
    </row>
    <row r="457" spans="1:16" ht="12.75">
      <c r="A457" s="62" t="str">
        <f t="shared" si="7"/>
        <v>Ethiopia_Public spending on education, total (% of government expenditure)</v>
      </c>
      <c r="B457" t="s">
        <v>470</v>
      </c>
      <c r="C457" t="s">
        <v>274</v>
      </c>
      <c r="D457" t="s">
        <v>422</v>
      </c>
      <c r="E457" t="s">
        <v>423</v>
      </c>
      <c r="F457" t="s">
        <v>193</v>
      </c>
      <c r="G457" t="s">
        <v>193</v>
      </c>
      <c r="H457" t="s">
        <v>193</v>
      </c>
      <c r="I457" t="s">
        <v>193</v>
      </c>
      <c r="J457">
        <v>11.2788422326021</v>
      </c>
      <c r="K457">
        <v>13.754655481887</v>
      </c>
      <c r="L457">
        <v>14.2</v>
      </c>
      <c r="M457">
        <v>16.1</v>
      </c>
      <c r="N457">
        <v>19.8</v>
      </c>
      <c r="O457">
        <v>19.4</v>
      </c>
      <c r="P457">
        <v>17.5247645508469</v>
      </c>
    </row>
    <row r="458" spans="1:16" ht="12.75">
      <c r="A458" s="62" t="str">
        <f t="shared" si="7"/>
        <v>Ethiopia_Health expenditure, public (% of total health expenditure)</v>
      </c>
      <c r="B458" t="s">
        <v>470</v>
      </c>
      <c r="C458" t="s">
        <v>274</v>
      </c>
      <c r="D458" t="s">
        <v>424</v>
      </c>
      <c r="E458" t="s">
        <v>425</v>
      </c>
      <c r="F458" t="s">
        <v>193</v>
      </c>
      <c r="G458" t="s">
        <v>193</v>
      </c>
      <c r="H458" t="s">
        <v>193</v>
      </c>
      <c r="I458" t="s">
        <v>193</v>
      </c>
      <c r="J458">
        <v>53.6</v>
      </c>
      <c r="K458">
        <v>52.7</v>
      </c>
      <c r="L458">
        <v>55.6</v>
      </c>
      <c r="M458">
        <v>55.8</v>
      </c>
      <c r="N458">
        <v>51.5</v>
      </c>
      <c r="O458" t="s">
        <v>193</v>
      </c>
      <c r="P458" t="s">
        <v>193</v>
      </c>
    </row>
    <row r="459" spans="1:16" ht="12.75">
      <c r="A459" s="62" t="str">
        <f t="shared" si="7"/>
        <v>Ethiopia_Health expenditure, public (% of GDP)</v>
      </c>
      <c r="B459" t="s">
        <v>470</v>
      </c>
      <c r="C459" t="s">
        <v>274</v>
      </c>
      <c r="D459" t="s">
        <v>426</v>
      </c>
      <c r="E459" t="s">
        <v>427</v>
      </c>
      <c r="F459" t="s">
        <v>193</v>
      </c>
      <c r="G459" t="s">
        <v>193</v>
      </c>
      <c r="H459" t="s">
        <v>193</v>
      </c>
      <c r="I459" t="s">
        <v>193</v>
      </c>
      <c r="J459">
        <v>2.8944</v>
      </c>
      <c r="K459">
        <v>2.8985</v>
      </c>
      <c r="L459">
        <v>3.2248</v>
      </c>
      <c r="M459">
        <v>3.1248</v>
      </c>
      <c r="N459">
        <v>2.7295</v>
      </c>
      <c r="O459" t="s">
        <v>193</v>
      </c>
      <c r="P459" t="s">
        <v>193</v>
      </c>
    </row>
    <row r="460" spans="1:16" ht="12.75">
      <c r="A460" s="62" t="str">
        <f t="shared" si="7"/>
        <v>Ethiopia_Health expenditure, total (% of GDP)</v>
      </c>
      <c r="B460" t="s">
        <v>470</v>
      </c>
      <c r="C460" t="s">
        <v>274</v>
      </c>
      <c r="D460" t="s">
        <v>428</v>
      </c>
      <c r="E460" t="s">
        <v>429</v>
      </c>
      <c r="F460" t="s">
        <v>193</v>
      </c>
      <c r="G460" t="s">
        <v>193</v>
      </c>
      <c r="H460" t="s">
        <v>193</v>
      </c>
      <c r="I460" t="s">
        <v>193</v>
      </c>
      <c r="J460">
        <v>5.4</v>
      </c>
      <c r="K460">
        <v>5.5</v>
      </c>
      <c r="L460">
        <v>5.8</v>
      </c>
      <c r="M460">
        <v>5.6</v>
      </c>
      <c r="N460">
        <v>5.3</v>
      </c>
      <c r="O460" t="s">
        <v>193</v>
      </c>
      <c r="P460" t="s">
        <v>193</v>
      </c>
    </row>
    <row r="461" spans="1:16" ht="12.75">
      <c r="A461" s="62" t="str">
        <f t="shared" si="7"/>
        <v>Ethiopia_GDP (current LCU)</v>
      </c>
      <c r="B461" t="s">
        <v>470</v>
      </c>
      <c r="C461" t="s">
        <v>274</v>
      </c>
      <c r="D461" t="s">
        <v>430</v>
      </c>
      <c r="E461" t="s">
        <v>431</v>
      </c>
      <c r="F461">
        <v>53597261824</v>
      </c>
      <c r="G461">
        <v>55519789056</v>
      </c>
      <c r="H461">
        <v>53391261696</v>
      </c>
      <c r="I461">
        <v>57368145920</v>
      </c>
      <c r="J461">
        <v>64397918208</v>
      </c>
      <c r="K461">
        <v>65687326720</v>
      </c>
      <c r="L461">
        <v>63462555648</v>
      </c>
      <c r="M461">
        <v>68898029568</v>
      </c>
      <c r="N461">
        <v>81754505216</v>
      </c>
      <c r="O461">
        <v>98397937664</v>
      </c>
      <c r="P461">
        <v>115589480448</v>
      </c>
    </row>
    <row r="462" spans="1:16" ht="12.75">
      <c r="A462" s="62" t="str">
        <f t="shared" si="7"/>
        <v>Ethiopia_GDP (current US$)</v>
      </c>
      <c r="B462" t="s">
        <v>470</v>
      </c>
      <c r="C462" t="s">
        <v>274</v>
      </c>
      <c r="D462" t="s">
        <v>432</v>
      </c>
      <c r="E462" t="s">
        <v>433</v>
      </c>
      <c r="F462">
        <v>8482883072</v>
      </c>
      <c r="G462">
        <v>8543631360</v>
      </c>
      <c r="H462">
        <v>7758083584</v>
      </c>
      <c r="I462">
        <v>7638027776</v>
      </c>
      <c r="J462">
        <v>7903387136</v>
      </c>
      <c r="K462">
        <v>7887645696</v>
      </c>
      <c r="L462">
        <v>7428845056</v>
      </c>
      <c r="M462">
        <v>8029585920</v>
      </c>
      <c r="N462">
        <v>9484748800</v>
      </c>
      <c r="O462">
        <v>11373281280</v>
      </c>
      <c r="P462">
        <v>13315402752</v>
      </c>
    </row>
    <row r="463" spans="1:16" ht="12.75">
      <c r="A463" s="62" t="str">
        <f t="shared" si="7"/>
        <v>Ethiopia_GDP per capita, PPP (current international $)</v>
      </c>
      <c r="B463" t="s">
        <v>470</v>
      </c>
      <c r="C463" t="s">
        <v>274</v>
      </c>
      <c r="D463" t="s">
        <v>434</v>
      </c>
      <c r="E463" t="s">
        <v>435</v>
      </c>
      <c r="F463">
        <v>756.600341669085</v>
      </c>
      <c r="G463">
        <v>776.282690979531</v>
      </c>
      <c r="H463">
        <v>734.518633930241</v>
      </c>
      <c r="I463">
        <v>771.076267678599</v>
      </c>
      <c r="J463">
        <v>814.907884471511</v>
      </c>
      <c r="K463">
        <v>878.640604675278</v>
      </c>
      <c r="L463">
        <v>885.681210037908</v>
      </c>
      <c r="M463">
        <v>854.256854128253</v>
      </c>
      <c r="N463">
        <v>972.693805434367</v>
      </c>
      <c r="O463">
        <v>1084.17173260152</v>
      </c>
      <c r="P463">
        <v>1191.84297803181</v>
      </c>
    </row>
    <row r="464" spans="1:16" ht="12.75">
      <c r="A464" s="62" t="str">
        <f t="shared" si="7"/>
        <v>Ethiopia_GDP per capita, PPP (constant 2000 international $)</v>
      </c>
      <c r="B464" t="s">
        <v>470</v>
      </c>
      <c r="C464" t="s">
        <v>274</v>
      </c>
      <c r="D464" t="s">
        <v>436</v>
      </c>
      <c r="E464" t="s">
        <v>437</v>
      </c>
      <c r="F464">
        <v>806.222897689227</v>
      </c>
      <c r="G464">
        <v>813.606044528871</v>
      </c>
      <c r="H464">
        <v>761.374822205013</v>
      </c>
      <c r="I464">
        <v>787.884614799037</v>
      </c>
      <c r="J464">
        <v>814.907884471511</v>
      </c>
      <c r="K464">
        <v>857.973667074254</v>
      </c>
      <c r="L464">
        <v>849.973674455775</v>
      </c>
      <c r="M464">
        <v>803.463867644147</v>
      </c>
      <c r="N464">
        <v>891.466692023104</v>
      </c>
      <c r="O464">
        <v>964.54049377876</v>
      </c>
      <c r="P464">
        <v>1030.16621341989</v>
      </c>
    </row>
    <row r="465" spans="1:16" ht="12.75">
      <c r="A465" s="62" t="str">
        <f t="shared" si="7"/>
        <v>Ethiopia_GINI index</v>
      </c>
      <c r="B465" t="s">
        <v>470</v>
      </c>
      <c r="C465" t="s">
        <v>274</v>
      </c>
      <c r="D465" t="s">
        <v>438</v>
      </c>
      <c r="E465" t="s">
        <v>439</v>
      </c>
      <c r="F465" t="s">
        <v>193</v>
      </c>
      <c r="G465" t="s">
        <v>193</v>
      </c>
      <c r="H465" t="s">
        <v>193</v>
      </c>
      <c r="I465" t="s">
        <v>193</v>
      </c>
      <c r="J465">
        <v>29.9709</v>
      </c>
      <c r="K465" t="s">
        <v>193</v>
      </c>
      <c r="L465" t="s">
        <v>193</v>
      </c>
      <c r="M465" t="s">
        <v>193</v>
      </c>
      <c r="N465" t="s">
        <v>193</v>
      </c>
      <c r="O465" t="s">
        <v>193</v>
      </c>
      <c r="P465" t="s">
        <v>193</v>
      </c>
    </row>
    <row r="466" spans="1:16" ht="12.75">
      <c r="A466" s="62" t="str">
        <f t="shared" si="7"/>
        <v>Georgia_Poverty headcount ratio at national poverty line (% of population)</v>
      </c>
      <c r="B466" t="s">
        <v>471</v>
      </c>
      <c r="C466" t="s">
        <v>211</v>
      </c>
      <c r="D466" t="s">
        <v>408</v>
      </c>
      <c r="E466" t="s">
        <v>409</v>
      </c>
      <c r="F466" t="s">
        <v>193</v>
      </c>
      <c r="G466" t="s">
        <v>193</v>
      </c>
      <c r="H466" t="s">
        <v>193</v>
      </c>
      <c r="I466" t="s">
        <v>193</v>
      </c>
      <c r="J466" t="s">
        <v>193</v>
      </c>
      <c r="K466" t="s">
        <v>193</v>
      </c>
      <c r="L466">
        <v>52.1</v>
      </c>
      <c r="M466">
        <v>54.5</v>
      </c>
      <c r="N466" t="s">
        <v>193</v>
      </c>
      <c r="O466" t="s">
        <v>193</v>
      </c>
      <c r="P466" t="s">
        <v>193</v>
      </c>
    </row>
    <row r="467" spans="1:16" ht="12.75">
      <c r="A467" s="62" t="str">
        <f t="shared" si="7"/>
        <v>Georgia_Poverty headcount ratio at $2 a day (PPP) (% of population)</v>
      </c>
      <c r="B467" t="s">
        <v>471</v>
      </c>
      <c r="C467" t="s">
        <v>211</v>
      </c>
      <c r="D467" t="s">
        <v>410</v>
      </c>
      <c r="E467" t="s">
        <v>411</v>
      </c>
      <c r="F467">
        <v>8.5</v>
      </c>
      <c r="G467" t="s">
        <v>193</v>
      </c>
      <c r="H467" t="s">
        <v>193</v>
      </c>
      <c r="I467">
        <v>14.6</v>
      </c>
      <c r="J467" t="s">
        <v>193</v>
      </c>
      <c r="K467">
        <v>15.7</v>
      </c>
      <c r="L467" t="s">
        <v>193</v>
      </c>
      <c r="M467">
        <v>25.29</v>
      </c>
      <c r="N467" t="s">
        <v>193</v>
      </c>
      <c r="O467" t="s">
        <v>193</v>
      </c>
      <c r="P467" t="s">
        <v>193</v>
      </c>
    </row>
    <row r="468" spans="1:16" ht="12.75">
      <c r="A468" s="62" t="str">
        <f t="shared" si="7"/>
        <v>Georgia_Poverty headcount ratio at $1 a day (PPP) (% of population)</v>
      </c>
      <c r="B468" t="s">
        <v>471</v>
      </c>
      <c r="C468" t="s">
        <v>211</v>
      </c>
      <c r="D468" t="s">
        <v>412</v>
      </c>
      <c r="E468" t="s">
        <v>413</v>
      </c>
      <c r="F468">
        <v>2</v>
      </c>
      <c r="G468" t="s">
        <v>193</v>
      </c>
      <c r="H468" t="s">
        <v>193</v>
      </c>
      <c r="I468">
        <v>2.59</v>
      </c>
      <c r="J468" t="s">
        <v>193</v>
      </c>
      <c r="K468">
        <v>2.71</v>
      </c>
      <c r="L468" t="s">
        <v>193</v>
      </c>
      <c r="M468">
        <v>6.514</v>
      </c>
      <c r="N468" t="s">
        <v>193</v>
      </c>
      <c r="O468" t="s">
        <v>193</v>
      </c>
      <c r="P468" t="s">
        <v>193</v>
      </c>
    </row>
    <row r="469" spans="1:16" ht="12.75">
      <c r="A469" s="62" t="str">
        <f t="shared" si="7"/>
        <v>Georgia_Poverty gap at $1 a day (PPP) (%)</v>
      </c>
      <c r="B469" t="s">
        <v>471</v>
      </c>
      <c r="C469" t="s">
        <v>211</v>
      </c>
      <c r="D469" t="s">
        <v>414</v>
      </c>
      <c r="E469" t="s">
        <v>415</v>
      </c>
      <c r="F469">
        <v>0.96</v>
      </c>
      <c r="G469" t="s">
        <v>193</v>
      </c>
      <c r="H469" t="s">
        <v>193</v>
      </c>
      <c r="I469">
        <v>0.85</v>
      </c>
      <c r="J469" t="s">
        <v>193</v>
      </c>
      <c r="K469">
        <v>0.93</v>
      </c>
      <c r="L469" t="s">
        <v>193</v>
      </c>
      <c r="M469">
        <v>2.14</v>
      </c>
      <c r="N469" t="s">
        <v>193</v>
      </c>
      <c r="O469" t="s">
        <v>193</v>
      </c>
      <c r="P469" t="s">
        <v>193</v>
      </c>
    </row>
    <row r="470" spans="1:16" ht="12.75">
      <c r="A470" s="62" t="str">
        <f t="shared" si="7"/>
        <v>Georgia_Poverty gap at $2 a day (PPP) (%)</v>
      </c>
      <c r="B470" t="s">
        <v>471</v>
      </c>
      <c r="C470" t="s">
        <v>211</v>
      </c>
      <c r="D470" t="s">
        <v>416</v>
      </c>
      <c r="E470" t="s">
        <v>417</v>
      </c>
      <c r="F470">
        <v>2.01</v>
      </c>
      <c r="G470" t="s">
        <v>193</v>
      </c>
      <c r="H470" t="s">
        <v>193</v>
      </c>
      <c r="I470">
        <v>4.37</v>
      </c>
      <c r="J470" t="s">
        <v>193</v>
      </c>
      <c r="K470">
        <v>4.65</v>
      </c>
      <c r="L470" t="s">
        <v>193</v>
      </c>
      <c r="M470">
        <v>8.57</v>
      </c>
      <c r="N470" t="s">
        <v>193</v>
      </c>
      <c r="O470" t="s">
        <v>193</v>
      </c>
      <c r="P470" t="s">
        <v>193</v>
      </c>
    </row>
    <row r="471" spans="1:16" ht="12.75">
      <c r="A471" s="62" t="str">
        <f t="shared" si="7"/>
        <v>Georgia_Population, total</v>
      </c>
      <c r="B471" t="s">
        <v>471</v>
      </c>
      <c r="C471" t="s">
        <v>211</v>
      </c>
      <c r="D471" t="s">
        <v>418</v>
      </c>
      <c r="E471" t="s">
        <v>419</v>
      </c>
      <c r="F471">
        <v>4953616</v>
      </c>
      <c r="G471">
        <v>4886454</v>
      </c>
      <c r="H471">
        <v>4828414</v>
      </c>
      <c r="I471">
        <v>4774219</v>
      </c>
      <c r="J471">
        <v>4720061</v>
      </c>
      <c r="K471">
        <v>4666032</v>
      </c>
      <c r="L471">
        <v>4614154</v>
      </c>
      <c r="M471">
        <v>4564661</v>
      </c>
      <c r="N471">
        <v>4517981</v>
      </c>
      <c r="O471">
        <v>4474404</v>
      </c>
      <c r="P471">
        <v>4436485.95521675</v>
      </c>
    </row>
    <row r="472" spans="1:16" ht="12.75">
      <c r="A472" s="62" t="str">
        <f t="shared" si="7"/>
        <v>Georgia_Public spending on education, total (% of GDP)</v>
      </c>
      <c r="B472" t="s">
        <v>471</v>
      </c>
      <c r="C472" t="s">
        <v>211</v>
      </c>
      <c r="D472" t="s">
        <v>420</v>
      </c>
      <c r="E472" t="s">
        <v>421</v>
      </c>
      <c r="F472" t="s">
        <v>193</v>
      </c>
      <c r="G472" t="s">
        <v>193</v>
      </c>
      <c r="H472" t="s">
        <v>193</v>
      </c>
      <c r="I472">
        <v>2.15513406647162</v>
      </c>
      <c r="J472">
        <v>2.18106344766274</v>
      </c>
      <c r="K472">
        <v>2.13749525995289</v>
      </c>
      <c r="L472">
        <v>2.23501770248076</v>
      </c>
      <c r="M472">
        <v>2.23785060405204</v>
      </c>
      <c r="N472">
        <v>2.91426054675432</v>
      </c>
      <c r="O472" t="s">
        <v>193</v>
      </c>
      <c r="P472" t="s">
        <v>193</v>
      </c>
    </row>
    <row r="473" spans="1:16" ht="12.75">
      <c r="A473" s="62" t="str">
        <f t="shared" si="7"/>
        <v>Georgia_Public spending on education, total (% of government expenditure)</v>
      </c>
      <c r="B473" t="s">
        <v>471</v>
      </c>
      <c r="C473" t="s">
        <v>211</v>
      </c>
      <c r="D473" t="s">
        <v>422</v>
      </c>
      <c r="E473" t="s">
        <v>423</v>
      </c>
      <c r="F473" t="s">
        <v>193</v>
      </c>
      <c r="G473" t="s">
        <v>193</v>
      </c>
      <c r="H473" t="s">
        <v>193</v>
      </c>
      <c r="I473">
        <v>10.2732802884672</v>
      </c>
      <c r="J473">
        <v>11.6997857159342</v>
      </c>
      <c r="K473">
        <v>11.5249327038355</v>
      </c>
      <c r="L473">
        <v>11.823314725523</v>
      </c>
      <c r="M473" t="s">
        <v>193</v>
      </c>
      <c r="N473">
        <v>13.1416419295033</v>
      </c>
      <c r="O473" t="s">
        <v>193</v>
      </c>
      <c r="P473" t="s">
        <v>193</v>
      </c>
    </row>
    <row r="474" spans="1:16" ht="12.75">
      <c r="A474" s="62" t="str">
        <f t="shared" si="7"/>
        <v>Georgia_Health expenditure, public (% of total health expenditure)</v>
      </c>
      <c r="B474" t="s">
        <v>471</v>
      </c>
      <c r="C474" t="s">
        <v>211</v>
      </c>
      <c r="D474" t="s">
        <v>424</v>
      </c>
      <c r="E474" t="s">
        <v>425</v>
      </c>
      <c r="F474" t="s">
        <v>193</v>
      </c>
      <c r="G474" t="s">
        <v>193</v>
      </c>
      <c r="H474" t="s">
        <v>193</v>
      </c>
      <c r="I474" t="s">
        <v>193</v>
      </c>
      <c r="J474">
        <v>26.5</v>
      </c>
      <c r="K474">
        <v>27.1</v>
      </c>
      <c r="L474">
        <v>24.5</v>
      </c>
      <c r="M474">
        <v>26.6</v>
      </c>
      <c r="N474">
        <v>27.4</v>
      </c>
      <c r="O474" t="s">
        <v>193</v>
      </c>
      <c r="P474" t="s">
        <v>193</v>
      </c>
    </row>
    <row r="475" spans="1:16" ht="12.75">
      <c r="A475" s="62" t="str">
        <f t="shared" si="7"/>
        <v>Georgia_Health expenditure, public (% of GDP)</v>
      </c>
      <c r="B475" t="s">
        <v>471</v>
      </c>
      <c r="C475" t="s">
        <v>211</v>
      </c>
      <c r="D475" t="s">
        <v>426</v>
      </c>
      <c r="E475" t="s">
        <v>427</v>
      </c>
      <c r="F475" t="s">
        <v>193</v>
      </c>
      <c r="G475" t="s">
        <v>193</v>
      </c>
      <c r="H475" t="s">
        <v>193</v>
      </c>
      <c r="I475" t="s">
        <v>193</v>
      </c>
      <c r="J475">
        <v>1.2455</v>
      </c>
      <c r="K475">
        <v>1.4092</v>
      </c>
      <c r="L475">
        <v>1.568</v>
      </c>
      <c r="M475">
        <v>1.3832</v>
      </c>
      <c r="N475">
        <v>1.4522</v>
      </c>
      <c r="O475" t="s">
        <v>193</v>
      </c>
      <c r="P475" t="s">
        <v>193</v>
      </c>
    </row>
    <row r="476" spans="1:16" ht="12.75">
      <c r="A476" s="62" t="str">
        <f t="shared" si="7"/>
        <v>Georgia_Health expenditure, total (% of GDP)</v>
      </c>
      <c r="B476" t="s">
        <v>471</v>
      </c>
      <c r="C476" t="s">
        <v>211</v>
      </c>
      <c r="D476" t="s">
        <v>428</v>
      </c>
      <c r="E476" t="s">
        <v>429</v>
      </c>
      <c r="F476" t="s">
        <v>193</v>
      </c>
      <c r="G476" t="s">
        <v>193</v>
      </c>
      <c r="H476" t="s">
        <v>193</v>
      </c>
      <c r="I476" t="s">
        <v>193</v>
      </c>
      <c r="J476">
        <v>4.7</v>
      </c>
      <c r="K476">
        <v>5.2</v>
      </c>
      <c r="L476">
        <v>6.4</v>
      </c>
      <c r="M476">
        <v>5.2</v>
      </c>
      <c r="N476">
        <v>5.3</v>
      </c>
      <c r="O476" t="s">
        <v>193</v>
      </c>
      <c r="P476" t="s">
        <v>193</v>
      </c>
    </row>
    <row r="477" spans="1:16" ht="12.75">
      <c r="A477" s="62" t="str">
        <f t="shared" si="7"/>
        <v>Georgia_GDP (current LCU)</v>
      </c>
      <c r="B477" t="s">
        <v>471</v>
      </c>
      <c r="C477" t="s">
        <v>211</v>
      </c>
      <c r="D477" t="s">
        <v>430</v>
      </c>
      <c r="E477" t="s">
        <v>431</v>
      </c>
      <c r="F477">
        <v>3868475392</v>
      </c>
      <c r="G477">
        <v>4554926592</v>
      </c>
      <c r="H477">
        <v>5022102528</v>
      </c>
      <c r="I477">
        <v>5668696064</v>
      </c>
      <c r="J477">
        <v>6043056640</v>
      </c>
      <c r="K477">
        <v>6673998336</v>
      </c>
      <c r="L477">
        <v>7456026112</v>
      </c>
      <c r="M477">
        <v>8564092928</v>
      </c>
      <c r="N477">
        <v>9824295936</v>
      </c>
      <c r="O477">
        <v>11620952064</v>
      </c>
      <c r="P477">
        <v>13439302656</v>
      </c>
    </row>
    <row r="478" spans="1:16" ht="12.75">
      <c r="A478" s="62" t="str">
        <f t="shared" si="7"/>
        <v>Georgia_GDP (current US$)</v>
      </c>
      <c r="B478" t="s">
        <v>471</v>
      </c>
      <c r="C478" t="s">
        <v>211</v>
      </c>
      <c r="D478" t="s">
        <v>432</v>
      </c>
      <c r="E478" t="s">
        <v>433</v>
      </c>
      <c r="F478">
        <v>3094915584</v>
      </c>
      <c r="G478">
        <v>3510540800</v>
      </c>
      <c r="H478">
        <v>3613500160</v>
      </c>
      <c r="I478">
        <v>2800024320</v>
      </c>
      <c r="J478">
        <v>3057453568</v>
      </c>
      <c r="K478">
        <v>3219487744</v>
      </c>
      <c r="L478">
        <v>3395778560</v>
      </c>
      <c r="M478">
        <v>3991374592</v>
      </c>
      <c r="N478">
        <v>5125764096</v>
      </c>
      <c r="O478">
        <v>6412267520</v>
      </c>
      <c r="P478">
        <v>7550170112</v>
      </c>
    </row>
    <row r="479" spans="1:16" ht="12.75">
      <c r="A479" s="62" t="str">
        <f t="shared" si="7"/>
        <v>Georgia_GDP per capita, PPP (current international $)</v>
      </c>
      <c r="B479" t="s">
        <v>471</v>
      </c>
      <c r="C479" t="s">
        <v>211</v>
      </c>
      <c r="D479" t="s">
        <v>434</v>
      </c>
      <c r="E479" t="s">
        <v>435</v>
      </c>
      <c r="F479">
        <v>1496.8662910752</v>
      </c>
      <c r="G479">
        <v>1705.07298163033</v>
      </c>
      <c r="H479">
        <v>1798.91307335141</v>
      </c>
      <c r="I479">
        <v>1898.79059726108</v>
      </c>
      <c r="J479">
        <v>1998.37810029739</v>
      </c>
      <c r="K479">
        <v>2169.37068162485</v>
      </c>
      <c r="L479">
        <v>2354.92192189792</v>
      </c>
      <c r="M479">
        <v>2698.5116277051</v>
      </c>
      <c r="N479">
        <v>2961.61221350428</v>
      </c>
      <c r="O479">
        <v>3365.8371673291</v>
      </c>
      <c r="P479">
        <v>3822.43989623398</v>
      </c>
    </row>
    <row r="480" spans="1:16" ht="12.75">
      <c r="A480" s="62" t="str">
        <f t="shared" si="7"/>
        <v>Georgia_GDP per capita, PPP (constant 2000 international $)</v>
      </c>
      <c r="B480" t="s">
        <v>471</v>
      </c>
      <c r="C480" t="s">
        <v>211</v>
      </c>
      <c r="D480" t="s">
        <v>436</v>
      </c>
      <c r="E480" t="s">
        <v>437</v>
      </c>
      <c r="F480">
        <v>1595.04009208048</v>
      </c>
      <c r="G480">
        <v>1787.05219160152</v>
      </c>
      <c r="H480">
        <v>1864.68669154999</v>
      </c>
      <c r="I480">
        <v>1940.18148530368</v>
      </c>
      <c r="J480">
        <v>1998.37810029739</v>
      </c>
      <c r="K480">
        <v>2118.34384736285</v>
      </c>
      <c r="L480">
        <v>2259.97979445264</v>
      </c>
      <c r="M480">
        <v>2538.06168343968</v>
      </c>
      <c r="N480">
        <v>2714.29573034947</v>
      </c>
      <c r="O480">
        <v>2994.43911488488</v>
      </c>
      <c r="P480">
        <v>3303.91545405688</v>
      </c>
    </row>
    <row r="481" spans="1:16" ht="12.75">
      <c r="A481" s="62" t="str">
        <f t="shared" si="7"/>
        <v>Georgia_GINI index</v>
      </c>
      <c r="B481" t="s">
        <v>471</v>
      </c>
      <c r="C481" t="s">
        <v>211</v>
      </c>
      <c r="D481" t="s">
        <v>438</v>
      </c>
      <c r="E481" t="s">
        <v>439</v>
      </c>
      <c r="F481">
        <v>37.13</v>
      </c>
      <c r="G481" t="s">
        <v>193</v>
      </c>
      <c r="H481" t="s">
        <v>193</v>
      </c>
      <c r="I481">
        <v>38.05</v>
      </c>
      <c r="J481" t="s">
        <v>193</v>
      </c>
      <c r="K481">
        <v>36.9</v>
      </c>
      <c r="L481" t="s">
        <v>193</v>
      </c>
      <c r="M481">
        <v>40.44</v>
      </c>
      <c r="N481" t="s">
        <v>193</v>
      </c>
      <c r="O481" t="s">
        <v>193</v>
      </c>
      <c r="P481" t="s">
        <v>193</v>
      </c>
    </row>
    <row r="482" spans="1:16" ht="12.75">
      <c r="A482" s="62" t="str">
        <f t="shared" si="7"/>
        <v>Grenada_Poverty headcount ratio at national poverty line (% of population)</v>
      </c>
      <c r="B482" t="s">
        <v>472</v>
      </c>
      <c r="C482" t="s">
        <v>246</v>
      </c>
      <c r="D482" t="s">
        <v>408</v>
      </c>
      <c r="E482" t="s">
        <v>409</v>
      </c>
      <c r="F482" t="s">
        <v>193</v>
      </c>
      <c r="G482" t="s">
        <v>193</v>
      </c>
      <c r="H482" t="s">
        <v>193</v>
      </c>
      <c r="I482" t="s">
        <v>193</v>
      </c>
      <c r="J482" t="s">
        <v>193</v>
      </c>
      <c r="K482" t="s">
        <v>193</v>
      </c>
      <c r="L482" t="s">
        <v>193</v>
      </c>
      <c r="M482" t="s">
        <v>193</v>
      </c>
      <c r="N482" t="s">
        <v>193</v>
      </c>
      <c r="O482" t="s">
        <v>193</v>
      </c>
      <c r="P482" t="s">
        <v>193</v>
      </c>
    </row>
    <row r="483" spans="1:16" ht="12.75">
      <c r="A483" s="62" t="str">
        <f t="shared" si="7"/>
        <v>Grenada_Poverty headcount ratio at $2 a day (PPP) (% of population)</v>
      </c>
      <c r="B483" t="s">
        <v>472</v>
      </c>
      <c r="C483" t="s">
        <v>246</v>
      </c>
      <c r="D483" t="s">
        <v>410</v>
      </c>
      <c r="E483" t="s">
        <v>411</v>
      </c>
      <c r="F483" t="s">
        <v>193</v>
      </c>
      <c r="G483" t="s">
        <v>193</v>
      </c>
      <c r="H483" t="s">
        <v>193</v>
      </c>
      <c r="I483" t="s">
        <v>193</v>
      </c>
      <c r="J483" t="s">
        <v>193</v>
      </c>
      <c r="K483" t="s">
        <v>193</v>
      </c>
      <c r="L483" t="s">
        <v>193</v>
      </c>
      <c r="M483" t="s">
        <v>193</v>
      </c>
      <c r="N483" t="s">
        <v>193</v>
      </c>
      <c r="O483" t="s">
        <v>193</v>
      </c>
      <c r="P483" t="s">
        <v>193</v>
      </c>
    </row>
    <row r="484" spans="1:16" ht="12.75">
      <c r="A484" s="62" t="str">
        <f t="shared" si="7"/>
        <v>Grenada_Poverty headcount ratio at $1 a day (PPP) (% of population)</v>
      </c>
      <c r="B484" t="s">
        <v>472</v>
      </c>
      <c r="C484" t="s">
        <v>246</v>
      </c>
      <c r="D484" t="s">
        <v>412</v>
      </c>
      <c r="E484" t="s">
        <v>413</v>
      </c>
      <c r="F484" t="s">
        <v>193</v>
      </c>
      <c r="G484" t="s">
        <v>193</v>
      </c>
      <c r="H484" t="s">
        <v>193</v>
      </c>
      <c r="I484" t="s">
        <v>193</v>
      </c>
      <c r="J484" t="s">
        <v>193</v>
      </c>
      <c r="K484" t="s">
        <v>193</v>
      </c>
      <c r="L484" t="s">
        <v>193</v>
      </c>
      <c r="M484" t="s">
        <v>193</v>
      </c>
      <c r="N484" t="s">
        <v>193</v>
      </c>
      <c r="O484" t="s">
        <v>193</v>
      </c>
      <c r="P484" t="s">
        <v>193</v>
      </c>
    </row>
    <row r="485" spans="1:16" ht="12.75">
      <c r="A485" s="62" t="str">
        <f t="shared" si="7"/>
        <v>Grenada_Poverty gap at $1 a day (PPP) (%)</v>
      </c>
      <c r="B485" t="s">
        <v>472</v>
      </c>
      <c r="C485" t="s">
        <v>246</v>
      </c>
      <c r="D485" t="s">
        <v>414</v>
      </c>
      <c r="E485" t="s">
        <v>415</v>
      </c>
      <c r="F485" t="s">
        <v>193</v>
      </c>
      <c r="G485" t="s">
        <v>193</v>
      </c>
      <c r="H485" t="s">
        <v>193</v>
      </c>
      <c r="I485" t="s">
        <v>193</v>
      </c>
      <c r="J485" t="s">
        <v>193</v>
      </c>
      <c r="K485" t="s">
        <v>193</v>
      </c>
      <c r="L485" t="s">
        <v>193</v>
      </c>
      <c r="M485" t="s">
        <v>193</v>
      </c>
      <c r="N485" t="s">
        <v>193</v>
      </c>
      <c r="O485" t="s">
        <v>193</v>
      </c>
      <c r="P485" t="s">
        <v>193</v>
      </c>
    </row>
    <row r="486" spans="1:16" ht="12.75">
      <c r="A486" s="62" t="str">
        <f t="shared" si="7"/>
        <v>Grenada_Poverty gap at $2 a day (PPP) (%)</v>
      </c>
      <c r="B486" t="s">
        <v>472</v>
      </c>
      <c r="C486" t="s">
        <v>246</v>
      </c>
      <c r="D486" t="s">
        <v>416</v>
      </c>
      <c r="E486" t="s">
        <v>417</v>
      </c>
      <c r="F486" t="s">
        <v>193</v>
      </c>
      <c r="G486" t="s">
        <v>193</v>
      </c>
      <c r="H486" t="s">
        <v>193</v>
      </c>
      <c r="I486" t="s">
        <v>193</v>
      </c>
      <c r="J486" t="s">
        <v>193</v>
      </c>
      <c r="K486" t="s">
        <v>193</v>
      </c>
      <c r="L486" t="s">
        <v>193</v>
      </c>
      <c r="M486" t="s">
        <v>193</v>
      </c>
      <c r="N486" t="s">
        <v>193</v>
      </c>
      <c r="O486" t="s">
        <v>193</v>
      </c>
      <c r="P486" t="s">
        <v>193</v>
      </c>
    </row>
    <row r="487" spans="1:16" ht="12.75">
      <c r="A487" s="62" t="str">
        <f t="shared" si="7"/>
        <v>Grenada_Population, total</v>
      </c>
      <c r="B487" t="s">
        <v>472</v>
      </c>
      <c r="C487" t="s">
        <v>246</v>
      </c>
      <c r="D487" t="s">
        <v>418</v>
      </c>
      <c r="E487" t="s">
        <v>419</v>
      </c>
      <c r="F487">
        <v>99000</v>
      </c>
      <c r="G487">
        <v>99500</v>
      </c>
      <c r="H487">
        <v>100100</v>
      </c>
      <c r="I487">
        <v>100700</v>
      </c>
      <c r="J487">
        <v>101400</v>
      </c>
      <c r="K487">
        <v>102632</v>
      </c>
      <c r="L487">
        <v>103501</v>
      </c>
      <c r="M487">
        <v>104614</v>
      </c>
      <c r="N487">
        <v>105747.494729083</v>
      </c>
      <c r="O487">
        <v>106500</v>
      </c>
      <c r="P487">
        <v>108148.189734822</v>
      </c>
    </row>
    <row r="488" spans="1:16" ht="12.75">
      <c r="A488" s="62" t="str">
        <f t="shared" si="7"/>
        <v>Grenada_Public spending on education, total (% of GDP)</v>
      </c>
      <c r="B488" t="s">
        <v>472</v>
      </c>
      <c r="C488" t="s">
        <v>246</v>
      </c>
      <c r="D488" t="s">
        <v>420</v>
      </c>
      <c r="E488" t="s">
        <v>421</v>
      </c>
      <c r="F488" t="s">
        <v>193</v>
      </c>
      <c r="G488" t="s">
        <v>193</v>
      </c>
      <c r="H488" t="s">
        <v>193</v>
      </c>
      <c r="I488" t="s">
        <v>193</v>
      </c>
      <c r="J488" t="s">
        <v>193</v>
      </c>
      <c r="K488" t="s">
        <v>193</v>
      </c>
      <c r="L488" t="s">
        <v>193</v>
      </c>
      <c r="M488">
        <v>5.20678307958058</v>
      </c>
      <c r="N488" t="s">
        <v>193</v>
      </c>
      <c r="O488" t="s">
        <v>193</v>
      </c>
      <c r="P488" t="s">
        <v>193</v>
      </c>
    </row>
    <row r="489" spans="1:16" ht="12.75">
      <c r="A489" s="62" t="str">
        <f t="shared" si="7"/>
        <v>Grenada_Public spending on education, total (% of government expenditure)</v>
      </c>
      <c r="B489" t="s">
        <v>472</v>
      </c>
      <c r="C489" t="s">
        <v>246</v>
      </c>
      <c r="D489" t="s">
        <v>422</v>
      </c>
      <c r="E489" t="s">
        <v>423</v>
      </c>
      <c r="F489" t="s">
        <v>193</v>
      </c>
      <c r="G489" t="s">
        <v>193</v>
      </c>
      <c r="H489" t="s">
        <v>193</v>
      </c>
      <c r="I489" t="s">
        <v>193</v>
      </c>
      <c r="J489" t="s">
        <v>193</v>
      </c>
      <c r="K489" t="s">
        <v>193</v>
      </c>
      <c r="L489" t="s">
        <v>193</v>
      </c>
      <c r="M489">
        <v>12.8595849710051</v>
      </c>
      <c r="N489" t="s">
        <v>193</v>
      </c>
      <c r="O489" t="s">
        <v>193</v>
      </c>
      <c r="P489" t="s">
        <v>193</v>
      </c>
    </row>
    <row r="490" spans="1:16" ht="12.75">
      <c r="A490" s="62" t="str">
        <f t="shared" si="7"/>
        <v>Grenada_Health expenditure, public (% of total health expenditure)</v>
      </c>
      <c r="B490" t="s">
        <v>472</v>
      </c>
      <c r="C490" t="s">
        <v>246</v>
      </c>
      <c r="D490" t="s">
        <v>424</v>
      </c>
      <c r="E490" t="s">
        <v>425</v>
      </c>
      <c r="F490" t="s">
        <v>193</v>
      </c>
      <c r="G490" t="s">
        <v>193</v>
      </c>
      <c r="H490" t="s">
        <v>193</v>
      </c>
      <c r="I490" t="s">
        <v>193</v>
      </c>
      <c r="J490">
        <v>66.7</v>
      </c>
      <c r="K490">
        <v>77.9</v>
      </c>
      <c r="L490">
        <v>72.9</v>
      </c>
      <c r="M490">
        <v>73.6</v>
      </c>
      <c r="N490">
        <v>72.8</v>
      </c>
      <c r="O490" t="s">
        <v>193</v>
      </c>
      <c r="P490" t="s">
        <v>193</v>
      </c>
    </row>
    <row r="491" spans="1:16" ht="12.75">
      <c r="A491" s="62" t="str">
        <f t="shared" si="7"/>
        <v>Grenada_Health expenditure, public (% of GDP)</v>
      </c>
      <c r="B491" t="s">
        <v>472</v>
      </c>
      <c r="C491" t="s">
        <v>246</v>
      </c>
      <c r="D491" t="s">
        <v>426</v>
      </c>
      <c r="E491" t="s">
        <v>427</v>
      </c>
      <c r="F491" t="s">
        <v>193</v>
      </c>
      <c r="G491" t="s">
        <v>193</v>
      </c>
      <c r="H491" t="s">
        <v>193</v>
      </c>
      <c r="I491" t="s">
        <v>193</v>
      </c>
      <c r="J491">
        <v>3.0682</v>
      </c>
      <c r="K491">
        <v>5.9204</v>
      </c>
      <c r="L491">
        <v>5.103</v>
      </c>
      <c r="M491">
        <v>4.8576</v>
      </c>
      <c r="N491">
        <v>5.0232</v>
      </c>
      <c r="O491" t="s">
        <v>193</v>
      </c>
      <c r="P491" t="s">
        <v>193</v>
      </c>
    </row>
    <row r="492" spans="1:16" ht="12.75">
      <c r="A492" s="62" t="str">
        <f t="shared" si="7"/>
        <v>Grenada_Health expenditure, total (% of GDP)</v>
      </c>
      <c r="B492" t="s">
        <v>472</v>
      </c>
      <c r="C492" t="s">
        <v>246</v>
      </c>
      <c r="D492" t="s">
        <v>428</v>
      </c>
      <c r="E492" t="s">
        <v>429</v>
      </c>
      <c r="F492" t="s">
        <v>193</v>
      </c>
      <c r="G492" t="s">
        <v>193</v>
      </c>
      <c r="H492" t="s">
        <v>193</v>
      </c>
      <c r="I492" t="s">
        <v>193</v>
      </c>
      <c r="J492">
        <v>4.6</v>
      </c>
      <c r="K492">
        <v>7.6</v>
      </c>
      <c r="L492">
        <v>7</v>
      </c>
      <c r="M492">
        <v>6.6</v>
      </c>
      <c r="N492">
        <v>6.9</v>
      </c>
      <c r="O492" t="s">
        <v>193</v>
      </c>
      <c r="P492" t="s">
        <v>193</v>
      </c>
    </row>
    <row r="493" spans="1:16" ht="12.75">
      <c r="A493" s="62" t="str">
        <f t="shared" si="7"/>
        <v>Grenada_GDP (current LCU)</v>
      </c>
      <c r="B493" t="s">
        <v>472</v>
      </c>
      <c r="C493" t="s">
        <v>246</v>
      </c>
      <c r="D493" t="s">
        <v>430</v>
      </c>
      <c r="E493" t="s">
        <v>431</v>
      </c>
      <c r="F493">
        <v>795560000</v>
      </c>
      <c r="G493">
        <v>823340032</v>
      </c>
      <c r="H493">
        <v>920200000</v>
      </c>
      <c r="I493">
        <v>1019400000</v>
      </c>
      <c r="J493">
        <v>1108100096</v>
      </c>
      <c r="K493">
        <v>1067430016</v>
      </c>
      <c r="L493">
        <v>1100310016</v>
      </c>
      <c r="M493">
        <v>1198150016</v>
      </c>
      <c r="N493">
        <v>1180710016</v>
      </c>
      <c r="O493">
        <v>1279800064</v>
      </c>
      <c r="P493">
        <v>1402000000</v>
      </c>
    </row>
    <row r="494" spans="1:16" ht="12.75">
      <c r="A494" s="62" t="str">
        <f t="shared" si="7"/>
        <v>Grenada_GDP (current US$)</v>
      </c>
      <c r="B494" t="s">
        <v>472</v>
      </c>
      <c r="C494" t="s">
        <v>246</v>
      </c>
      <c r="D494" t="s">
        <v>432</v>
      </c>
      <c r="E494" t="s">
        <v>433</v>
      </c>
      <c r="F494">
        <v>294651840</v>
      </c>
      <c r="G494">
        <v>304940736</v>
      </c>
      <c r="H494">
        <v>340814816</v>
      </c>
      <c r="I494">
        <v>377555552</v>
      </c>
      <c r="J494">
        <v>410407424</v>
      </c>
      <c r="K494">
        <v>395344448</v>
      </c>
      <c r="L494">
        <v>407522208</v>
      </c>
      <c r="M494">
        <v>443759264</v>
      </c>
      <c r="N494">
        <v>437300000</v>
      </c>
      <c r="O494">
        <v>474000000</v>
      </c>
      <c r="P494">
        <v>519259264</v>
      </c>
    </row>
    <row r="495" spans="1:16" ht="12.75">
      <c r="A495" s="62" t="str">
        <f t="shared" si="7"/>
        <v>Grenada_GDP per capita, PPP (current international $)</v>
      </c>
      <c r="B495" t="s">
        <v>472</v>
      </c>
      <c r="C495" t="s">
        <v>246</v>
      </c>
      <c r="D495" t="s">
        <v>434</v>
      </c>
      <c r="E495" t="s">
        <v>435</v>
      </c>
      <c r="F495">
        <v>5328.99990614293</v>
      </c>
      <c r="G495">
        <v>5639.24014624273</v>
      </c>
      <c r="H495">
        <v>6038.49419655537</v>
      </c>
      <c r="I495">
        <v>6702.58763277578</v>
      </c>
      <c r="J495">
        <v>7317.46630198983</v>
      </c>
      <c r="K495">
        <v>7039.11683853372</v>
      </c>
      <c r="L495">
        <v>7208.46129481647</v>
      </c>
      <c r="M495">
        <v>7820.01726513759</v>
      </c>
      <c r="N495">
        <v>7616.49248063431</v>
      </c>
      <c r="O495">
        <v>7907.66264851242</v>
      </c>
      <c r="P495">
        <v>8536.15372426635</v>
      </c>
    </row>
    <row r="496" spans="1:16" ht="12.75">
      <c r="A496" s="62" t="str">
        <f t="shared" si="7"/>
        <v>Grenada_GDP per capita, PPP (constant 2000 international $)</v>
      </c>
      <c r="B496" t="s">
        <v>472</v>
      </c>
      <c r="C496" t="s">
        <v>246</v>
      </c>
      <c r="D496" t="s">
        <v>436</v>
      </c>
      <c r="E496" t="s">
        <v>437</v>
      </c>
      <c r="F496">
        <v>5678.50886326361</v>
      </c>
      <c r="G496">
        <v>5910.37250069761</v>
      </c>
      <c r="H496">
        <v>6259.27952390788</v>
      </c>
      <c r="I496">
        <v>6848.69434654617</v>
      </c>
      <c r="J496">
        <v>7317.46630198983</v>
      </c>
      <c r="K496">
        <v>6873.54631095487</v>
      </c>
      <c r="L496">
        <v>6917.84161669767</v>
      </c>
      <c r="M496">
        <v>7355.04934672511</v>
      </c>
      <c r="N496">
        <v>6980.45913173862</v>
      </c>
      <c r="O496">
        <v>7035.10394735162</v>
      </c>
      <c r="P496">
        <v>7378.20108972681</v>
      </c>
    </row>
    <row r="497" spans="1:16" ht="12.75">
      <c r="A497" s="62" t="str">
        <f t="shared" si="7"/>
        <v>Grenada_GINI index</v>
      </c>
      <c r="B497" t="s">
        <v>472</v>
      </c>
      <c r="C497" t="s">
        <v>246</v>
      </c>
      <c r="D497" t="s">
        <v>438</v>
      </c>
      <c r="E497" t="s">
        <v>439</v>
      </c>
      <c r="F497" t="s">
        <v>193</v>
      </c>
      <c r="G497" t="s">
        <v>193</v>
      </c>
      <c r="H497" t="s">
        <v>193</v>
      </c>
      <c r="I497" t="s">
        <v>193</v>
      </c>
      <c r="J497" t="s">
        <v>193</v>
      </c>
      <c r="K497" t="s">
        <v>193</v>
      </c>
      <c r="L497" t="s">
        <v>193</v>
      </c>
      <c r="M497" t="s">
        <v>193</v>
      </c>
      <c r="N497" t="s">
        <v>193</v>
      </c>
      <c r="O497" t="s">
        <v>193</v>
      </c>
      <c r="P497" t="s">
        <v>193</v>
      </c>
    </row>
    <row r="498" spans="1:16" ht="12.75">
      <c r="A498" s="62" t="str">
        <f t="shared" si="7"/>
        <v>Guatemala_Poverty headcount ratio at national poverty line (% of population)</v>
      </c>
      <c r="B498" t="s">
        <v>473</v>
      </c>
      <c r="C498" t="s">
        <v>247</v>
      </c>
      <c r="D498" t="s">
        <v>408</v>
      </c>
      <c r="E498" t="s">
        <v>409</v>
      </c>
      <c r="F498" t="s">
        <v>193</v>
      </c>
      <c r="G498" t="s">
        <v>193</v>
      </c>
      <c r="H498" t="s">
        <v>193</v>
      </c>
      <c r="I498" t="s">
        <v>193</v>
      </c>
      <c r="J498">
        <v>56.2</v>
      </c>
      <c r="K498" t="s">
        <v>193</v>
      </c>
      <c r="L498" t="s">
        <v>193</v>
      </c>
      <c r="M498" t="s">
        <v>193</v>
      </c>
      <c r="N498" t="s">
        <v>193</v>
      </c>
      <c r="O498" t="s">
        <v>193</v>
      </c>
      <c r="P498" t="s">
        <v>193</v>
      </c>
    </row>
    <row r="499" spans="1:16" ht="12.75">
      <c r="A499" s="62" t="str">
        <f aca="true" t="shared" si="8" ref="A499:A546">C499&amp;"_"&amp;E499</f>
        <v>Guatemala_Poverty headcount ratio at $2 a day (PPP) (% of population)</v>
      </c>
      <c r="B499" t="s">
        <v>473</v>
      </c>
      <c r="C499" t="s">
        <v>247</v>
      </c>
      <c r="D499" t="s">
        <v>410</v>
      </c>
      <c r="E499" t="s">
        <v>411</v>
      </c>
      <c r="F499" t="s">
        <v>193</v>
      </c>
      <c r="G499" t="s">
        <v>193</v>
      </c>
      <c r="H499">
        <v>33.25</v>
      </c>
      <c r="I499" t="s">
        <v>193</v>
      </c>
      <c r="J499">
        <v>30.39</v>
      </c>
      <c r="K499" t="s">
        <v>193</v>
      </c>
      <c r="L499">
        <v>31.89</v>
      </c>
      <c r="M499" t="s">
        <v>193</v>
      </c>
      <c r="N499" t="s">
        <v>193</v>
      </c>
      <c r="O499" t="s">
        <v>193</v>
      </c>
      <c r="P499" t="s">
        <v>193</v>
      </c>
    </row>
    <row r="500" spans="1:16" ht="12.75">
      <c r="A500" s="62" t="str">
        <f t="shared" si="8"/>
        <v>Guatemala_Poverty headcount ratio at $1 a day (PPP) (% of population)</v>
      </c>
      <c r="B500" t="s">
        <v>473</v>
      </c>
      <c r="C500" t="s">
        <v>247</v>
      </c>
      <c r="D500" t="s">
        <v>412</v>
      </c>
      <c r="E500" t="s">
        <v>413</v>
      </c>
      <c r="F500" t="s">
        <v>193</v>
      </c>
      <c r="G500" t="s">
        <v>193</v>
      </c>
      <c r="H500">
        <v>13.19</v>
      </c>
      <c r="I500" t="s">
        <v>193</v>
      </c>
      <c r="J500">
        <v>10.67</v>
      </c>
      <c r="K500" t="s">
        <v>193</v>
      </c>
      <c r="L500">
        <v>13.46</v>
      </c>
      <c r="M500" t="s">
        <v>193</v>
      </c>
      <c r="N500" t="s">
        <v>193</v>
      </c>
      <c r="O500" t="s">
        <v>193</v>
      </c>
      <c r="P500" t="s">
        <v>193</v>
      </c>
    </row>
    <row r="501" spans="1:16" ht="12.75">
      <c r="A501" s="62" t="str">
        <f t="shared" si="8"/>
        <v>Guatemala_Poverty gap at $1 a day (PPP) (%)</v>
      </c>
      <c r="B501" t="s">
        <v>473</v>
      </c>
      <c r="C501" t="s">
        <v>247</v>
      </c>
      <c r="D501" t="s">
        <v>414</v>
      </c>
      <c r="E501" t="s">
        <v>415</v>
      </c>
      <c r="F501" t="s">
        <v>193</v>
      </c>
      <c r="G501" t="s">
        <v>193</v>
      </c>
      <c r="H501">
        <v>4.03</v>
      </c>
      <c r="I501" t="s">
        <v>193</v>
      </c>
      <c r="J501">
        <v>2.71</v>
      </c>
      <c r="K501" t="s">
        <v>193</v>
      </c>
      <c r="L501">
        <v>5.48</v>
      </c>
      <c r="M501" t="s">
        <v>193</v>
      </c>
      <c r="N501" t="s">
        <v>193</v>
      </c>
      <c r="O501" t="s">
        <v>193</v>
      </c>
      <c r="P501" t="s">
        <v>193</v>
      </c>
    </row>
    <row r="502" spans="1:16" ht="12.75">
      <c r="A502" s="62" t="str">
        <f t="shared" si="8"/>
        <v>Guatemala_Poverty gap at $2 a day (PPP) (%)</v>
      </c>
      <c r="B502" t="s">
        <v>473</v>
      </c>
      <c r="C502" t="s">
        <v>247</v>
      </c>
      <c r="D502" t="s">
        <v>416</v>
      </c>
      <c r="E502" t="s">
        <v>417</v>
      </c>
      <c r="F502" t="s">
        <v>193</v>
      </c>
      <c r="G502" t="s">
        <v>193</v>
      </c>
      <c r="H502">
        <v>13.74</v>
      </c>
      <c r="I502" t="s">
        <v>193</v>
      </c>
      <c r="J502">
        <v>11.72</v>
      </c>
      <c r="K502" t="s">
        <v>193</v>
      </c>
      <c r="L502">
        <v>13.76</v>
      </c>
      <c r="M502" t="s">
        <v>193</v>
      </c>
      <c r="N502" t="s">
        <v>193</v>
      </c>
      <c r="O502" t="s">
        <v>193</v>
      </c>
      <c r="P502" t="s">
        <v>193</v>
      </c>
    </row>
    <row r="503" spans="1:16" ht="12.75">
      <c r="A503" s="62" t="str">
        <f t="shared" si="8"/>
        <v>Guatemala_Population, total</v>
      </c>
      <c r="B503" t="s">
        <v>473</v>
      </c>
      <c r="C503" t="s">
        <v>247</v>
      </c>
      <c r="D503" t="s">
        <v>418</v>
      </c>
      <c r="E503" t="s">
        <v>419</v>
      </c>
      <c r="F503">
        <v>10197095</v>
      </c>
      <c r="G503">
        <v>10427893</v>
      </c>
      <c r="H503">
        <v>10664741</v>
      </c>
      <c r="I503">
        <v>10910275</v>
      </c>
      <c r="J503">
        <v>11166376</v>
      </c>
      <c r="K503">
        <v>11433500</v>
      </c>
      <c r="L503">
        <v>11711048</v>
      </c>
      <c r="M503">
        <v>11998471</v>
      </c>
      <c r="N503">
        <v>12294794</v>
      </c>
      <c r="O503">
        <v>12599059</v>
      </c>
      <c r="P503">
        <v>12902476.8275544</v>
      </c>
    </row>
    <row r="504" spans="1:16" ht="12.75">
      <c r="A504" s="62" t="str">
        <f t="shared" si="8"/>
        <v>Guatemala_Public spending on education, total (% of GDP)</v>
      </c>
      <c r="B504" t="s">
        <v>473</v>
      </c>
      <c r="C504" t="s">
        <v>247</v>
      </c>
      <c r="D504" t="s">
        <v>420</v>
      </c>
      <c r="E504" t="s">
        <v>421</v>
      </c>
      <c r="F504" t="s">
        <v>193</v>
      </c>
      <c r="G504" t="s">
        <v>193</v>
      </c>
      <c r="H504" t="s">
        <v>193</v>
      </c>
      <c r="I504" t="s">
        <v>193</v>
      </c>
      <c r="J504" t="s">
        <v>193</v>
      </c>
      <c r="K504" t="s">
        <v>193</v>
      </c>
      <c r="L504" t="s">
        <v>193</v>
      </c>
      <c r="M504" t="s">
        <v>193</v>
      </c>
      <c r="N504" t="s">
        <v>193</v>
      </c>
      <c r="O504" t="s">
        <v>193</v>
      </c>
      <c r="P504" t="s">
        <v>193</v>
      </c>
    </row>
    <row r="505" spans="1:16" ht="12.75">
      <c r="A505" s="62" t="str">
        <f t="shared" si="8"/>
        <v>Guatemala_Public spending on education, total (% of government expenditure)</v>
      </c>
      <c r="B505" t="s">
        <v>473</v>
      </c>
      <c r="C505" t="s">
        <v>247</v>
      </c>
      <c r="D505" t="s">
        <v>422</v>
      </c>
      <c r="E505" t="s">
        <v>423</v>
      </c>
      <c r="F505" t="s">
        <v>193</v>
      </c>
      <c r="G505" t="s">
        <v>193</v>
      </c>
      <c r="H505" t="s">
        <v>193</v>
      </c>
      <c r="I505" t="s">
        <v>193</v>
      </c>
      <c r="J505" t="s">
        <v>193</v>
      </c>
      <c r="K505" t="s">
        <v>193</v>
      </c>
      <c r="L505" t="s">
        <v>193</v>
      </c>
      <c r="M505" t="s">
        <v>193</v>
      </c>
      <c r="N505" t="s">
        <v>193</v>
      </c>
      <c r="O505" t="s">
        <v>193</v>
      </c>
      <c r="P505" t="s">
        <v>193</v>
      </c>
    </row>
    <row r="506" spans="1:16" ht="12.75">
      <c r="A506" s="62" t="str">
        <f t="shared" si="8"/>
        <v>Guatemala_Health expenditure, public (% of total health expenditure)</v>
      </c>
      <c r="B506" t="s">
        <v>473</v>
      </c>
      <c r="C506" t="s">
        <v>247</v>
      </c>
      <c r="D506" t="s">
        <v>424</v>
      </c>
      <c r="E506" t="s">
        <v>425</v>
      </c>
      <c r="F506" t="s">
        <v>193</v>
      </c>
      <c r="G506" t="s">
        <v>193</v>
      </c>
      <c r="H506" t="s">
        <v>193</v>
      </c>
      <c r="I506" t="s">
        <v>193</v>
      </c>
      <c r="J506">
        <v>39.8</v>
      </c>
      <c r="K506">
        <v>38.1</v>
      </c>
      <c r="L506">
        <v>36.9</v>
      </c>
      <c r="M506">
        <v>39.7</v>
      </c>
      <c r="N506">
        <v>41</v>
      </c>
      <c r="O506" t="s">
        <v>193</v>
      </c>
      <c r="P506" t="s">
        <v>193</v>
      </c>
    </row>
    <row r="507" spans="1:16" ht="12.75">
      <c r="A507" s="62" t="str">
        <f t="shared" si="8"/>
        <v>Guatemala_Health expenditure, public (% of GDP)</v>
      </c>
      <c r="B507" t="s">
        <v>473</v>
      </c>
      <c r="C507" t="s">
        <v>247</v>
      </c>
      <c r="D507" t="s">
        <v>426</v>
      </c>
      <c r="E507" t="s">
        <v>427</v>
      </c>
      <c r="F507" t="s">
        <v>193</v>
      </c>
      <c r="G507" t="s">
        <v>193</v>
      </c>
      <c r="H507" t="s">
        <v>193</v>
      </c>
      <c r="I507" t="s">
        <v>193</v>
      </c>
      <c r="J507">
        <v>2.189</v>
      </c>
      <c r="K507">
        <v>2.0574</v>
      </c>
      <c r="L507">
        <v>1.9188</v>
      </c>
      <c r="M507">
        <v>2.1438</v>
      </c>
      <c r="N507">
        <v>2.337</v>
      </c>
      <c r="O507" t="s">
        <v>193</v>
      </c>
      <c r="P507" t="s">
        <v>193</v>
      </c>
    </row>
    <row r="508" spans="1:16" ht="12.75">
      <c r="A508" s="62" t="str">
        <f t="shared" si="8"/>
        <v>Guatemala_Health expenditure, total (% of GDP)</v>
      </c>
      <c r="B508" t="s">
        <v>473</v>
      </c>
      <c r="C508" t="s">
        <v>247</v>
      </c>
      <c r="D508" t="s">
        <v>428</v>
      </c>
      <c r="E508" t="s">
        <v>429</v>
      </c>
      <c r="F508" t="s">
        <v>193</v>
      </c>
      <c r="G508" t="s">
        <v>193</v>
      </c>
      <c r="H508" t="s">
        <v>193</v>
      </c>
      <c r="I508" t="s">
        <v>193</v>
      </c>
      <c r="J508">
        <v>5.5</v>
      </c>
      <c r="K508">
        <v>5.4</v>
      </c>
      <c r="L508">
        <v>5.2</v>
      </c>
      <c r="M508">
        <v>5.4</v>
      </c>
      <c r="N508">
        <v>5.7</v>
      </c>
      <c r="O508" t="s">
        <v>193</v>
      </c>
      <c r="P508" t="s">
        <v>193</v>
      </c>
    </row>
    <row r="509" spans="1:16" ht="12.75">
      <c r="A509" s="62" t="str">
        <f t="shared" si="8"/>
        <v>Guatemala_GDP (current LCU)</v>
      </c>
      <c r="B509" t="s">
        <v>473</v>
      </c>
      <c r="C509" t="s">
        <v>247</v>
      </c>
      <c r="D509" t="s">
        <v>430</v>
      </c>
      <c r="E509" t="s">
        <v>431</v>
      </c>
      <c r="F509">
        <v>95478554624</v>
      </c>
      <c r="G509">
        <v>107873378304</v>
      </c>
      <c r="H509">
        <v>124022530048</v>
      </c>
      <c r="I509">
        <v>135286972416</v>
      </c>
      <c r="J509">
        <v>149743026176</v>
      </c>
      <c r="K509">
        <v>164870094848</v>
      </c>
      <c r="L509">
        <v>181996404736</v>
      </c>
      <c r="M509">
        <v>197598707712</v>
      </c>
      <c r="N509">
        <v>217075400704</v>
      </c>
      <c r="O509">
        <v>241596006400</v>
      </c>
      <c r="P509">
        <v>268297797632</v>
      </c>
    </row>
    <row r="510" spans="1:16" ht="12.75">
      <c r="A510" s="62" t="str">
        <f t="shared" si="8"/>
        <v>Guatemala_GDP (current US$)</v>
      </c>
      <c r="B510" t="s">
        <v>473</v>
      </c>
      <c r="C510" t="s">
        <v>247</v>
      </c>
      <c r="D510" t="s">
        <v>432</v>
      </c>
      <c r="E510" t="s">
        <v>433</v>
      </c>
      <c r="F510">
        <v>15781579776</v>
      </c>
      <c r="G510">
        <v>17788657664</v>
      </c>
      <c r="H510">
        <v>19393673216</v>
      </c>
      <c r="I510">
        <v>18317088768</v>
      </c>
      <c r="J510">
        <v>19290566656</v>
      </c>
      <c r="K510">
        <v>20978063360</v>
      </c>
      <c r="L510">
        <v>23268237312</v>
      </c>
      <c r="M510">
        <v>24881262592</v>
      </c>
      <c r="N510">
        <v>27399139328</v>
      </c>
      <c r="O510">
        <v>31716788224</v>
      </c>
      <c r="P510">
        <v>35290267648</v>
      </c>
    </row>
    <row r="511" spans="1:16" ht="12.75">
      <c r="A511" s="62" t="str">
        <f t="shared" si="8"/>
        <v>Guatemala_GDP per capita, PPP (current international $)</v>
      </c>
      <c r="B511" t="s">
        <v>473</v>
      </c>
      <c r="C511" t="s">
        <v>247</v>
      </c>
      <c r="D511" t="s">
        <v>434</v>
      </c>
      <c r="E511" t="s">
        <v>435</v>
      </c>
      <c r="F511">
        <v>3528.69990891182</v>
      </c>
      <c r="G511">
        <v>3661.33989948849</v>
      </c>
      <c r="H511">
        <v>3800.55838081734</v>
      </c>
      <c r="I511">
        <v>3913.69190994587</v>
      </c>
      <c r="J511">
        <v>4048.29632014157</v>
      </c>
      <c r="K511">
        <v>4143.39606704189</v>
      </c>
      <c r="L511">
        <v>4208.53659605205</v>
      </c>
      <c r="M511">
        <v>4280.72513342929</v>
      </c>
      <c r="N511">
        <v>4401.45716141944</v>
      </c>
      <c r="O511">
        <v>4568.24403379964</v>
      </c>
      <c r="P511">
        <v>4801.55283528567</v>
      </c>
    </row>
    <row r="512" spans="1:16" ht="12.75">
      <c r="A512" s="62" t="str">
        <f t="shared" si="8"/>
        <v>Guatemala_GDP per capita, PPP (constant 2000 international $)</v>
      </c>
      <c r="B512" t="s">
        <v>473</v>
      </c>
      <c r="C512" t="s">
        <v>247</v>
      </c>
      <c r="D512" t="s">
        <v>436</v>
      </c>
      <c r="E512" t="s">
        <v>437</v>
      </c>
      <c r="F512">
        <v>3760.13399539659</v>
      </c>
      <c r="G512">
        <v>3837.3756209091</v>
      </c>
      <c r="H512">
        <v>3939.51811132594</v>
      </c>
      <c r="I512">
        <v>3999.00473165009</v>
      </c>
      <c r="J512">
        <v>4048.29632014157</v>
      </c>
      <c r="K512">
        <v>4045.93721126146</v>
      </c>
      <c r="L512">
        <v>4038.86327731268</v>
      </c>
      <c r="M512">
        <v>4026.19885975212</v>
      </c>
      <c r="N512">
        <v>4033.90299583516</v>
      </c>
      <c r="O512">
        <v>4064.16827110032</v>
      </c>
      <c r="P512">
        <v>4150.20904098472</v>
      </c>
    </row>
    <row r="513" spans="1:16" ht="12.75">
      <c r="A513" s="62" t="str">
        <f t="shared" si="8"/>
        <v>Guatemala_GINI index</v>
      </c>
      <c r="B513" t="s">
        <v>473</v>
      </c>
      <c r="C513" t="s">
        <v>247</v>
      </c>
      <c r="D513" t="s">
        <v>438</v>
      </c>
      <c r="E513" t="s">
        <v>439</v>
      </c>
      <c r="F513" t="s">
        <v>193</v>
      </c>
      <c r="G513" t="s">
        <v>193</v>
      </c>
      <c r="H513">
        <v>55.65</v>
      </c>
      <c r="I513" t="s">
        <v>193</v>
      </c>
      <c r="J513">
        <v>54.97</v>
      </c>
      <c r="K513" t="s">
        <v>193</v>
      </c>
      <c r="L513">
        <v>55.135</v>
      </c>
      <c r="M513" t="s">
        <v>193</v>
      </c>
      <c r="N513" t="s">
        <v>193</v>
      </c>
      <c r="O513" t="s">
        <v>193</v>
      </c>
      <c r="P513" t="s">
        <v>193</v>
      </c>
    </row>
    <row r="514" spans="1:16" ht="12.75">
      <c r="A514" s="62" t="str">
        <f t="shared" si="8"/>
        <v>Guyana_Poverty headcount ratio at national poverty line (% of population)</v>
      </c>
      <c r="B514" t="s">
        <v>474</v>
      </c>
      <c r="C514" t="s">
        <v>248</v>
      </c>
      <c r="D514" t="s">
        <v>408</v>
      </c>
      <c r="E514" t="s">
        <v>409</v>
      </c>
      <c r="F514" t="s">
        <v>193</v>
      </c>
      <c r="G514" t="s">
        <v>193</v>
      </c>
      <c r="H514">
        <v>35</v>
      </c>
      <c r="I514" t="s">
        <v>193</v>
      </c>
      <c r="J514" t="s">
        <v>193</v>
      </c>
      <c r="K514" t="s">
        <v>193</v>
      </c>
      <c r="L514" t="s">
        <v>193</v>
      </c>
      <c r="M514" t="s">
        <v>193</v>
      </c>
      <c r="N514" t="s">
        <v>193</v>
      </c>
      <c r="O514" t="s">
        <v>193</v>
      </c>
      <c r="P514" t="s">
        <v>193</v>
      </c>
    </row>
    <row r="515" spans="1:16" ht="12.75">
      <c r="A515" s="62" t="str">
        <f t="shared" si="8"/>
        <v>Guyana_Poverty headcount ratio at $2 a day (PPP) (% of population)</v>
      </c>
      <c r="B515" t="s">
        <v>474</v>
      </c>
      <c r="C515" t="s">
        <v>248</v>
      </c>
      <c r="D515" t="s">
        <v>410</v>
      </c>
      <c r="E515" t="s">
        <v>411</v>
      </c>
      <c r="F515" t="s">
        <v>193</v>
      </c>
      <c r="G515" t="s">
        <v>193</v>
      </c>
      <c r="H515" t="s">
        <v>193</v>
      </c>
      <c r="I515">
        <v>6.1</v>
      </c>
      <c r="J515" t="s">
        <v>193</v>
      </c>
      <c r="K515" t="s">
        <v>193</v>
      </c>
      <c r="L515" t="s">
        <v>193</v>
      </c>
      <c r="M515" t="s">
        <v>193</v>
      </c>
      <c r="N515" t="s">
        <v>193</v>
      </c>
      <c r="O515" t="s">
        <v>193</v>
      </c>
      <c r="P515" t="s">
        <v>193</v>
      </c>
    </row>
    <row r="516" spans="1:16" ht="12.75">
      <c r="A516" s="62" t="str">
        <f t="shared" si="8"/>
        <v>Guyana_Poverty headcount ratio at $1 a day (PPP) (% of population)</v>
      </c>
      <c r="B516" t="s">
        <v>474</v>
      </c>
      <c r="C516" t="s">
        <v>248</v>
      </c>
      <c r="D516" t="s">
        <v>412</v>
      </c>
      <c r="E516" t="s">
        <v>413</v>
      </c>
      <c r="F516" t="s">
        <v>193</v>
      </c>
      <c r="G516" t="s">
        <v>193</v>
      </c>
      <c r="H516" t="s">
        <v>193</v>
      </c>
      <c r="I516">
        <v>2</v>
      </c>
      <c r="J516" t="s">
        <v>193</v>
      </c>
      <c r="K516" t="s">
        <v>193</v>
      </c>
      <c r="L516" t="s">
        <v>193</v>
      </c>
      <c r="M516" t="s">
        <v>193</v>
      </c>
      <c r="N516" t="s">
        <v>193</v>
      </c>
      <c r="O516" t="s">
        <v>193</v>
      </c>
      <c r="P516" t="s">
        <v>193</v>
      </c>
    </row>
    <row r="517" spans="1:16" ht="12.75">
      <c r="A517" s="62" t="str">
        <f t="shared" si="8"/>
        <v>Guyana_Poverty gap at $1 a day (PPP) (%)</v>
      </c>
      <c r="B517" t="s">
        <v>474</v>
      </c>
      <c r="C517" t="s">
        <v>248</v>
      </c>
      <c r="D517" t="s">
        <v>414</v>
      </c>
      <c r="E517" t="s">
        <v>415</v>
      </c>
      <c r="F517" t="s">
        <v>193</v>
      </c>
      <c r="G517" t="s">
        <v>193</v>
      </c>
      <c r="H517" t="s">
        <v>193</v>
      </c>
      <c r="I517">
        <v>0.5</v>
      </c>
      <c r="J517" t="s">
        <v>193</v>
      </c>
      <c r="K517" t="s">
        <v>193</v>
      </c>
      <c r="L517" t="s">
        <v>193</v>
      </c>
      <c r="M517" t="s">
        <v>193</v>
      </c>
      <c r="N517" t="s">
        <v>193</v>
      </c>
      <c r="O517" t="s">
        <v>193</v>
      </c>
      <c r="P517" t="s">
        <v>193</v>
      </c>
    </row>
    <row r="518" spans="1:16" ht="12.75">
      <c r="A518" s="62" t="str">
        <f t="shared" si="8"/>
        <v>Guyana_Poverty gap at $2 a day (PPP) (%)</v>
      </c>
      <c r="B518" t="s">
        <v>474</v>
      </c>
      <c r="C518" t="s">
        <v>248</v>
      </c>
      <c r="D518" t="s">
        <v>416</v>
      </c>
      <c r="E518" t="s">
        <v>417</v>
      </c>
      <c r="F518" t="s">
        <v>193</v>
      </c>
      <c r="G518" t="s">
        <v>193</v>
      </c>
      <c r="H518" t="s">
        <v>193</v>
      </c>
      <c r="I518">
        <v>1.7</v>
      </c>
      <c r="J518" t="s">
        <v>193</v>
      </c>
      <c r="K518" t="s">
        <v>193</v>
      </c>
      <c r="L518" t="s">
        <v>193</v>
      </c>
      <c r="M518" t="s">
        <v>193</v>
      </c>
      <c r="N518" t="s">
        <v>193</v>
      </c>
      <c r="O518" t="s">
        <v>193</v>
      </c>
      <c r="P518" t="s">
        <v>193</v>
      </c>
    </row>
    <row r="519" spans="1:16" ht="12.75">
      <c r="A519" s="62" t="str">
        <f t="shared" si="8"/>
        <v>Guyana_Population, total</v>
      </c>
      <c r="B519" t="s">
        <v>474</v>
      </c>
      <c r="C519" t="s">
        <v>248</v>
      </c>
      <c r="D519" t="s">
        <v>418</v>
      </c>
      <c r="E519" t="s">
        <v>419</v>
      </c>
      <c r="F519">
        <v>734443</v>
      </c>
      <c r="G519">
        <v>736743</v>
      </c>
      <c r="H519">
        <v>739113</v>
      </c>
      <c r="I519">
        <v>741454</v>
      </c>
      <c r="J519">
        <v>743683</v>
      </c>
      <c r="K519">
        <v>745714</v>
      </c>
      <c r="L519">
        <v>747487</v>
      </c>
      <c r="M519">
        <v>748989</v>
      </c>
      <c r="N519">
        <v>750232</v>
      </c>
      <c r="O519">
        <v>751218</v>
      </c>
      <c r="P519">
        <v>751174.394938111</v>
      </c>
    </row>
    <row r="520" spans="1:16" ht="12.75">
      <c r="A520" s="62" t="str">
        <f t="shared" si="8"/>
        <v>Guyana_Public spending on education, total (% of GDP)</v>
      </c>
      <c r="B520" t="s">
        <v>474</v>
      </c>
      <c r="C520" t="s">
        <v>248</v>
      </c>
      <c r="D520" t="s">
        <v>420</v>
      </c>
      <c r="E520" t="s">
        <v>421</v>
      </c>
      <c r="F520" t="s">
        <v>193</v>
      </c>
      <c r="G520" t="s">
        <v>193</v>
      </c>
      <c r="H520" t="s">
        <v>193</v>
      </c>
      <c r="I520">
        <v>8.77136362709841</v>
      </c>
      <c r="J520">
        <v>8.48492826103308</v>
      </c>
      <c r="K520">
        <v>8.59073529452587</v>
      </c>
      <c r="L520">
        <v>8.41097822914459</v>
      </c>
      <c r="M520">
        <v>6.96867005229058</v>
      </c>
      <c r="N520">
        <v>5.52636194543385</v>
      </c>
      <c r="O520">
        <v>8.49918507874417</v>
      </c>
      <c r="P520" t="s">
        <v>193</v>
      </c>
    </row>
    <row r="521" spans="1:16" ht="12.75">
      <c r="A521" s="62" t="str">
        <f t="shared" si="8"/>
        <v>Guyana_Public spending on education, total (% of government expenditure)</v>
      </c>
      <c r="B521" t="s">
        <v>474</v>
      </c>
      <c r="C521" t="s">
        <v>248</v>
      </c>
      <c r="D521" t="s">
        <v>422</v>
      </c>
      <c r="E521" t="s">
        <v>423</v>
      </c>
      <c r="F521" t="s">
        <v>193</v>
      </c>
      <c r="G521" t="s">
        <v>193</v>
      </c>
      <c r="H521" t="s">
        <v>193</v>
      </c>
      <c r="I521">
        <v>18.3930825904728</v>
      </c>
      <c r="J521">
        <v>18.2278325593263</v>
      </c>
      <c r="K521">
        <v>18.3930815348062</v>
      </c>
      <c r="L521">
        <v>18.3930825887088</v>
      </c>
      <c r="M521" t="s">
        <v>193</v>
      </c>
      <c r="N521">
        <v>11.9893587912958</v>
      </c>
      <c r="O521">
        <v>14.5323458136625</v>
      </c>
      <c r="P521" t="s">
        <v>193</v>
      </c>
    </row>
    <row r="522" spans="1:16" ht="12.75">
      <c r="A522" s="62" t="str">
        <f t="shared" si="8"/>
        <v>Guyana_Health expenditure, public (% of total health expenditure)</v>
      </c>
      <c r="B522" t="s">
        <v>474</v>
      </c>
      <c r="C522" t="s">
        <v>248</v>
      </c>
      <c r="D522" t="s">
        <v>424</v>
      </c>
      <c r="E522" t="s">
        <v>425</v>
      </c>
      <c r="F522" t="s">
        <v>193</v>
      </c>
      <c r="G522" t="s">
        <v>193</v>
      </c>
      <c r="H522" t="s">
        <v>193</v>
      </c>
      <c r="I522" t="s">
        <v>193</v>
      </c>
      <c r="J522">
        <v>84.5</v>
      </c>
      <c r="K522">
        <v>82.6</v>
      </c>
      <c r="L522">
        <v>83.1</v>
      </c>
      <c r="M522">
        <v>82.6</v>
      </c>
      <c r="N522">
        <v>83.5</v>
      </c>
      <c r="O522" t="s">
        <v>193</v>
      </c>
      <c r="P522" t="s">
        <v>193</v>
      </c>
    </row>
    <row r="523" spans="1:16" ht="12.75">
      <c r="A523" s="62" t="str">
        <f t="shared" si="8"/>
        <v>Guyana_Health expenditure, public (% of GDP)</v>
      </c>
      <c r="B523" t="s">
        <v>474</v>
      </c>
      <c r="C523" t="s">
        <v>248</v>
      </c>
      <c r="D523" t="s">
        <v>426</v>
      </c>
      <c r="E523" t="s">
        <v>427</v>
      </c>
      <c r="F523" t="s">
        <v>193</v>
      </c>
      <c r="G523" t="s">
        <v>193</v>
      </c>
      <c r="H523" t="s">
        <v>193</v>
      </c>
      <c r="I523" t="s">
        <v>193</v>
      </c>
      <c r="J523">
        <v>4.6475</v>
      </c>
      <c r="K523">
        <v>4.4604</v>
      </c>
      <c r="L523">
        <v>4.6536</v>
      </c>
      <c r="M523">
        <v>4.3778</v>
      </c>
      <c r="N523">
        <v>4.4255</v>
      </c>
      <c r="O523" t="s">
        <v>193</v>
      </c>
      <c r="P523" t="s">
        <v>193</v>
      </c>
    </row>
    <row r="524" spans="1:16" ht="12.75">
      <c r="A524" s="62" t="str">
        <f t="shared" si="8"/>
        <v>Guyana_Health expenditure, total (% of GDP)</v>
      </c>
      <c r="B524" t="s">
        <v>474</v>
      </c>
      <c r="C524" t="s">
        <v>248</v>
      </c>
      <c r="D524" t="s">
        <v>428</v>
      </c>
      <c r="E524" t="s">
        <v>429</v>
      </c>
      <c r="F524" t="s">
        <v>193</v>
      </c>
      <c r="G524" t="s">
        <v>193</v>
      </c>
      <c r="H524" t="s">
        <v>193</v>
      </c>
      <c r="I524" t="s">
        <v>193</v>
      </c>
      <c r="J524">
        <v>5.5</v>
      </c>
      <c r="K524">
        <v>5.4</v>
      </c>
      <c r="L524">
        <v>5.6</v>
      </c>
      <c r="M524">
        <v>5.3</v>
      </c>
      <c r="N524">
        <v>5.3</v>
      </c>
      <c r="O524" t="s">
        <v>193</v>
      </c>
      <c r="P524" t="s">
        <v>193</v>
      </c>
    </row>
    <row r="525" spans="1:16" ht="12.75">
      <c r="A525" s="62" t="str">
        <f t="shared" si="8"/>
        <v>Guyana_GDP (current LCU)</v>
      </c>
      <c r="B525" t="s">
        <v>474</v>
      </c>
      <c r="C525" t="s">
        <v>248</v>
      </c>
      <c r="D525" t="s">
        <v>430</v>
      </c>
      <c r="E525" t="s">
        <v>431</v>
      </c>
      <c r="F525">
        <v>99039002624</v>
      </c>
      <c r="G525">
        <v>106678001664</v>
      </c>
      <c r="H525">
        <v>108002000896</v>
      </c>
      <c r="I525">
        <v>123664998400</v>
      </c>
      <c r="J525">
        <v>130012004352</v>
      </c>
      <c r="K525">
        <v>130428002304</v>
      </c>
      <c r="L525">
        <v>137748004864</v>
      </c>
      <c r="M525">
        <v>143843999744</v>
      </c>
      <c r="N525">
        <v>155853586432</v>
      </c>
      <c r="O525">
        <v>158641586176</v>
      </c>
      <c r="P525">
        <v>179399999488</v>
      </c>
    </row>
    <row r="526" spans="1:16" ht="12.75">
      <c r="A526" s="62" t="str">
        <f t="shared" si="8"/>
        <v>Guyana_GDP (current US$)</v>
      </c>
      <c r="B526" t="s">
        <v>474</v>
      </c>
      <c r="C526" t="s">
        <v>248</v>
      </c>
      <c r="D526" t="s">
        <v>432</v>
      </c>
      <c r="E526" t="s">
        <v>433</v>
      </c>
      <c r="F526">
        <v>705406016</v>
      </c>
      <c r="G526">
        <v>749137984</v>
      </c>
      <c r="H526">
        <v>717530688</v>
      </c>
      <c r="I526">
        <v>694754944</v>
      </c>
      <c r="J526">
        <v>712667904</v>
      </c>
      <c r="K526">
        <v>696281472</v>
      </c>
      <c r="L526">
        <v>722460864</v>
      </c>
      <c r="M526">
        <v>741929344</v>
      </c>
      <c r="N526">
        <v>785918784</v>
      </c>
      <c r="O526">
        <v>793704000</v>
      </c>
      <c r="P526">
        <v>896156288</v>
      </c>
    </row>
    <row r="527" spans="1:16" ht="12.75">
      <c r="A527" s="62" t="str">
        <f t="shared" si="8"/>
        <v>Guyana_GDP per capita, PPP (current international $)</v>
      </c>
      <c r="B527" t="s">
        <v>474</v>
      </c>
      <c r="C527" t="s">
        <v>248</v>
      </c>
      <c r="D527" t="s">
        <v>434</v>
      </c>
      <c r="E527" t="s">
        <v>435</v>
      </c>
      <c r="F527">
        <v>3515.21203398815</v>
      </c>
      <c r="G527">
        <v>3784.62318246674</v>
      </c>
      <c r="H527">
        <v>3749.22974291546</v>
      </c>
      <c r="I527">
        <v>3903.99539342552</v>
      </c>
      <c r="J527">
        <v>3922.38638668661</v>
      </c>
      <c r="K527">
        <v>4096.0622288003</v>
      </c>
      <c r="L527">
        <v>4201.55905069182</v>
      </c>
      <c r="M527">
        <v>4235.46355206369</v>
      </c>
      <c r="N527">
        <v>4482.33698990582</v>
      </c>
      <c r="O527">
        <v>4508.29269239068</v>
      </c>
      <c r="P527">
        <v>4863.31857926009</v>
      </c>
    </row>
    <row r="528" spans="1:16" ht="12.75">
      <c r="A528" s="62" t="str">
        <f t="shared" si="8"/>
        <v>Guyana_GDP per capita, PPP (constant 2000 international $)</v>
      </c>
      <c r="B528" t="s">
        <v>474</v>
      </c>
      <c r="C528" t="s">
        <v>248</v>
      </c>
      <c r="D528" t="s">
        <v>436</v>
      </c>
      <c r="E528" t="s">
        <v>437</v>
      </c>
      <c r="F528">
        <v>3745.7615017487</v>
      </c>
      <c r="G528">
        <v>3966.58631359362</v>
      </c>
      <c r="H528">
        <v>3886.31274559211</v>
      </c>
      <c r="I528">
        <v>3989.09684509754</v>
      </c>
      <c r="J528">
        <v>3922.38638668661</v>
      </c>
      <c r="K528">
        <v>3999.7167354984</v>
      </c>
      <c r="L528">
        <v>4032.16704191635</v>
      </c>
      <c r="M528">
        <v>3983.62847235171</v>
      </c>
      <c r="N528">
        <v>4108.02876156875</v>
      </c>
      <c r="O528">
        <v>4010.83216695145</v>
      </c>
      <c r="P528">
        <v>4203.5960926031</v>
      </c>
    </row>
    <row r="529" spans="1:16" ht="12.75">
      <c r="A529" s="62" t="str">
        <f t="shared" si="8"/>
        <v>Guyana_GINI index</v>
      </c>
      <c r="B529" t="s">
        <v>474</v>
      </c>
      <c r="C529" t="s">
        <v>248</v>
      </c>
      <c r="D529" t="s">
        <v>438</v>
      </c>
      <c r="E529" t="s">
        <v>439</v>
      </c>
      <c r="F529" t="s">
        <v>193</v>
      </c>
      <c r="G529" t="s">
        <v>193</v>
      </c>
      <c r="H529" t="s">
        <v>193</v>
      </c>
      <c r="I529">
        <v>43.2</v>
      </c>
      <c r="J529" t="s">
        <v>193</v>
      </c>
      <c r="K529" t="s">
        <v>193</v>
      </c>
      <c r="L529" t="s">
        <v>193</v>
      </c>
      <c r="M529" t="s">
        <v>193</v>
      </c>
      <c r="N529" t="s">
        <v>193</v>
      </c>
      <c r="O529" t="s">
        <v>193</v>
      </c>
      <c r="P529" t="s">
        <v>193</v>
      </c>
    </row>
    <row r="530" spans="1:16" ht="12.75">
      <c r="A530" s="62" t="str">
        <f t="shared" si="8"/>
        <v>Honduras_Poverty headcount ratio at national poverty line (% of population)</v>
      </c>
      <c r="B530" t="s">
        <v>475</v>
      </c>
      <c r="C530" t="s">
        <v>249</v>
      </c>
      <c r="D530" t="s">
        <v>408</v>
      </c>
      <c r="E530" t="s">
        <v>409</v>
      </c>
      <c r="F530" t="s">
        <v>193</v>
      </c>
      <c r="G530" t="s">
        <v>193</v>
      </c>
      <c r="H530" t="s">
        <v>193</v>
      </c>
      <c r="I530">
        <v>52.5</v>
      </c>
      <c r="J530" t="s">
        <v>193</v>
      </c>
      <c r="K530" t="s">
        <v>193</v>
      </c>
      <c r="L530" t="s">
        <v>193</v>
      </c>
      <c r="M530" t="s">
        <v>193</v>
      </c>
      <c r="N530">
        <v>50.7</v>
      </c>
      <c r="O530" t="s">
        <v>193</v>
      </c>
      <c r="P530" t="s">
        <v>193</v>
      </c>
    </row>
    <row r="531" spans="1:16" ht="12.75">
      <c r="A531" s="62" t="str">
        <f t="shared" si="8"/>
        <v>Honduras_Poverty headcount ratio at $2 a day (PPP) (% of population)</v>
      </c>
      <c r="B531" t="s">
        <v>475</v>
      </c>
      <c r="C531" t="s">
        <v>249</v>
      </c>
      <c r="D531" t="s">
        <v>410</v>
      </c>
      <c r="E531" t="s">
        <v>411</v>
      </c>
      <c r="F531">
        <v>51.26</v>
      </c>
      <c r="G531" t="s">
        <v>193</v>
      </c>
      <c r="H531">
        <v>44.41</v>
      </c>
      <c r="I531">
        <v>43.96</v>
      </c>
      <c r="J531" t="s">
        <v>193</v>
      </c>
      <c r="K531" t="s">
        <v>193</v>
      </c>
      <c r="L531" t="s">
        <v>193</v>
      </c>
      <c r="M531">
        <v>35.71</v>
      </c>
      <c r="N531" t="s">
        <v>193</v>
      </c>
      <c r="O531" t="s">
        <v>193</v>
      </c>
      <c r="P531" t="s">
        <v>193</v>
      </c>
    </row>
    <row r="532" spans="1:16" ht="12.75">
      <c r="A532" s="62" t="str">
        <f t="shared" si="8"/>
        <v>Honduras_Poverty headcount ratio at $1 a day (PPP) (% of population)</v>
      </c>
      <c r="B532" t="s">
        <v>475</v>
      </c>
      <c r="C532" t="s">
        <v>249</v>
      </c>
      <c r="D532" t="s">
        <v>412</v>
      </c>
      <c r="E532" t="s">
        <v>413</v>
      </c>
      <c r="F532">
        <v>24.96</v>
      </c>
      <c r="G532" t="s">
        <v>193</v>
      </c>
      <c r="H532">
        <v>23.84</v>
      </c>
      <c r="I532">
        <v>20.74</v>
      </c>
      <c r="J532" t="s">
        <v>193</v>
      </c>
      <c r="K532" t="s">
        <v>193</v>
      </c>
      <c r="L532" t="s">
        <v>193</v>
      </c>
      <c r="M532">
        <v>14.9</v>
      </c>
      <c r="N532" t="s">
        <v>193</v>
      </c>
      <c r="O532" t="s">
        <v>193</v>
      </c>
      <c r="P532" t="s">
        <v>193</v>
      </c>
    </row>
    <row r="533" spans="1:16" ht="12.75">
      <c r="A533" s="62" t="str">
        <f t="shared" si="8"/>
        <v>Honduras_Poverty gap at $1 a day (PPP) (%)</v>
      </c>
      <c r="B533" t="s">
        <v>475</v>
      </c>
      <c r="C533" t="s">
        <v>249</v>
      </c>
      <c r="D533" t="s">
        <v>414</v>
      </c>
      <c r="E533" t="s">
        <v>415</v>
      </c>
      <c r="F533">
        <v>9.12</v>
      </c>
      <c r="G533" t="s">
        <v>193</v>
      </c>
      <c r="H533">
        <v>11.62</v>
      </c>
      <c r="I533">
        <v>7.45</v>
      </c>
      <c r="J533" t="s">
        <v>193</v>
      </c>
      <c r="K533" t="s">
        <v>193</v>
      </c>
      <c r="L533" t="s">
        <v>193</v>
      </c>
      <c r="M533">
        <v>4.386</v>
      </c>
      <c r="N533" t="s">
        <v>193</v>
      </c>
      <c r="O533" t="s">
        <v>193</v>
      </c>
      <c r="P533" t="s">
        <v>193</v>
      </c>
    </row>
    <row r="534" spans="1:16" ht="12.75">
      <c r="A534" s="62" t="str">
        <f t="shared" si="8"/>
        <v>Honduras_Poverty gap at $2 a day (PPP) (%)</v>
      </c>
      <c r="B534" t="s">
        <v>475</v>
      </c>
      <c r="C534" t="s">
        <v>249</v>
      </c>
      <c r="D534" t="s">
        <v>416</v>
      </c>
      <c r="E534" t="s">
        <v>417</v>
      </c>
      <c r="F534">
        <v>24.07</v>
      </c>
      <c r="G534" t="s">
        <v>193</v>
      </c>
      <c r="H534">
        <v>23.1</v>
      </c>
      <c r="I534">
        <v>20.22</v>
      </c>
      <c r="J534" t="s">
        <v>193</v>
      </c>
      <c r="K534" t="s">
        <v>193</v>
      </c>
      <c r="L534" t="s">
        <v>193</v>
      </c>
      <c r="M534">
        <v>15.08</v>
      </c>
      <c r="N534" t="s">
        <v>193</v>
      </c>
      <c r="O534" t="s">
        <v>193</v>
      </c>
      <c r="P534" t="s">
        <v>193</v>
      </c>
    </row>
    <row r="535" spans="1:16" ht="12.75">
      <c r="A535" s="62" t="str">
        <f t="shared" si="8"/>
        <v>Honduras_Population, total</v>
      </c>
      <c r="B535" t="s">
        <v>475</v>
      </c>
      <c r="C535" t="s">
        <v>249</v>
      </c>
      <c r="D535" t="s">
        <v>418</v>
      </c>
      <c r="E535" t="s">
        <v>419</v>
      </c>
      <c r="F535">
        <v>5783390</v>
      </c>
      <c r="G535">
        <v>5943556</v>
      </c>
      <c r="H535">
        <v>6104506</v>
      </c>
      <c r="I535">
        <v>6265049</v>
      </c>
      <c r="J535">
        <v>6424340</v>
      </c>
      <c r="K535">
        <v>6581875</v>
      </c>
      <c r="L535">
        <v>6737843</v>
      </c>
      <c r="M535">
        <v>6892959</v>
      </c>
      <c r="N535">
        <v>7048327</v>
      </c>
      <c r="O535">
        <v>7204723</v>
      </c>
      <c r="P535">
        <v>7354979.0795274</v>
      </c>
    </row>
    <row r="536" spans="1:16" ht="12.75">
      <c r="A536" s="62" t="str">
        <f t="shared" si="8"/>
        <v>Honduras_Public spending on education, total (% of GDP)</v>
      </c>
      <c r="B536" t="s">
        <v>475</v>
      </c>
      <c r="C536" t="s">
        <v>249</v>
      </c>
      <c r="D536" t="s">
        <v>420</v>
      </c>
      <c r="E536" t="s">
        <v>421</v>
      </c>
      <c r="F536" t="s">
        <v>193</v>
      </c>
      <c r="G536" t="s">
        <v>193</v>
      </c>
      <c r="H536" t="s">
        <v>193</v>
      </c>
      <c r="I536" t="s">
        <v>193</v>
      </c>
      <c r="J536" t="s">
        <v>193</v>
      </c>
      <c r="K536" t="s">
        <v>193</v>
      </c>
      <c r="L536" t="s">
        <v>193</v>
      </c>
      <c r="M536" t="s">
        <v>193</v>
      </c>
      <c r="N536" t="s">
        <v>193</v>
      </c>
      <c r="O536" t="s">
        <v>193</v>
      </c>
      <c r="P536" t="s">
        <v>193</v>
      </c>
    </row>
    <row r="537" spans="1:16" ht="12.75">
      <c r="A537" s="62" t="str">
        <f t="shared" si="8"/>
        <v>Honduras_Public spending on education, total (% of government expenditure)</v>
      </c>
      <c r="B537" t="s">
        <v>475</v>
      </c>
      <c r="C537" t="s">
        <v>249</v>
      </c>
      <c r="D537" t="s">
        <v>422</v>
      </c>
      <c r="E537" t="s">
        <v>423</v>
      </c>
      <c r="F537" t="s">
        <v>193</v>
      </c>
      <c r="G537" t="s">
        <v>193</v>
      </c>
      <c r="H537" t="s">
        <v>193</v>
      </c>
      <c r="I537" t="s">
        <v>193</v>
      </c>
      <c r="J537" t="s">
        <v>193</v>
      </c>
      <c r="K537" t="s">
        <v>193</v>
      </c>
      <c r="L537" t="s">
        <v>193</v>
      </c>
      <c r="M537" t="s">
        <v>193</v>
      </c>
      <c r="N537" t="s">
        <v>193</v>
      </c>
      <c r="O537" t="s">
        <v>193</v>
      </c>
      <c r="P537" t="s">
        <v>193</v>
      </c>
    </row>
    <row r="538" spans="1:16" ht="12.75">
      <c r="A538" s="62" t="str">
        <f t="shared" si="8"/>
        <v>Honduras_Health expenditure, public (% of total health expenditure)</v>
      </c>
      <c r="B538" t="s">
        <v>475</v>
      </c>
      <c r="C538" t="s">
        <v>249</v>
      </c>
      <c r="D538" t="s">
        <v>424</v>
      </c>
      <c r="E538" t="s">
        <v>425</v>
      </c>
      <c r="F538" t="s">
        <v>193</v>
      </c>
      <c r="G538" t="s">
        <v>193</v>
      </c>
      <c r="H538" t="s">
        <v>193</v>
      </c>
      <c r="I538" t="s">
        <v>193</v>
      </c>
      <c r="J538">
        <v>55.9</v>
      </c>
      <c r="K538">
        <v>54.7</v>
      </c>
      <c r="L538">
        <v>55.3</v>
      </c>
      <c r="M538">
        <v>56.2</v>
      </c>
      <c r="N538">
        <v>54.9</v>
      </c>
      <c r="O538" t="s">
        <v>193</v>
      </c>
      <c r="P538" t="s">
        <v>193</v>
      </c>
    </row>
    <row r="539" spans="1:16" ht="12.75">
      <c r="A539" s="62" t="str">
        <f t="shared" si="8"/>
        <v>Honduras_Health expenditure, public (% of GDP)</v>
      </c>
      <c r="B539" t="s">
        <v>475</v>
      </c>
      <c r="C539" t="s">
        <v>249</v>
      </c>
      <c r="D539" t="s">
        <v>426</v>
      </c>
      <c r="E539" t="s">
        <v>427</v>
      </c>
      <c r="F539" t="s">
        <v>193</v>
      </c>
      <c r="G539" t="s">
        <v>193</v>
      </c>
      <c r="H539" t="s">
        <v>193</v>
      </c>
      <c r="I539" t="s">
        <v>193</v>
      </c>
      <c r="J539">
        <v>3.5776</v>
      </c>
      <c r="K539">
        <v>3.5555</v>
      </c>
      <c r="L539">
        <v>3.7604</v>
      </c>
      <c r="M539">
        <v>4.0464</v>
      </c>
      <c r="N539">
        <v>3.9528</v>
      </c>
      <c r="O539" t="s">
        <v>193</v>
      </c>
      <c r="P539" t="s">
        <v>193</v>
      </c>
    </row>
    <row r="540" spans="1:16" ht="12.75">
      <c r="A540" s="62" t="str">
        <f t="shared" si="8"/>
        <v>Honduras_Health expenditure, total (% of GDP)</v>
      </c>
      <c r="B540" t="s">
        <v>475</v>
      </c>
      <c r="C540" t="s">
        <v>249</v>
      </c>
      <c r="D540" t="s">
        <v>428</v>
      </c>
      <c r="E540" t="s">
        <v>429</v>
      </c>
      <c r="F540" t="s">
        <v>193</v>
      </c>
      <c r="G540" t="s">
        <v>193</v>
      </c>
      <c r="H540" t="s">
        <v>193</v>
      </c>
      <c r="I540" t="s">
        <v>193</v>
      </c>
      <c r="J540">
        <v>6.4</v>
      </c>
      <c r="K540">
        <v>6.5</v>
      </c>
      <c r="L540">
        <v>6.8</v>
      </c>
      <c r="M540">
        <v>7.2</v>
      </c>
      <c r="N540">
        <v>7.2</v>
      </c>
      <c r="O540" t="s">
        <v>193</v>
      </c>
      <c r="P540" t="s">
        <v>193</v>
      </c>
    </row>
    <row r="541" spans="1:16" ht="12.75">
      <c r="A541" s="62" t="str">
        <f t="shared" si="8"/>
        <v>Honduras_GDP (current LCU)</v>
      </c>
      <c r="B541" t="s">
        <v>475</v>
      </c>
      <c r="C541" t="s">
        <v>249</v>
      </c>
      <c r="D541" t="s">
        <v>430</v>
      </c>
      <c r="E541" t="s">
        <v>431</v>
      </c>
      <c r="F541">
        <v>47763001344</v>
      </c>
      <c r="G541">
        <v>61320998912</v>
      </c>
      <c r="H541">
        <v>70438002688</v>
      </c>
      <c r="I541">
        <v>77096001536</v>
      </c>
      <c r="J541">
        <v>89400999936</v>
      </c>
      <c r="K541">
        <v>99031998464</v>
      </c>
      <c r="L541">
        <v>108122996736</v>
      </c>
      <c r="M541">
        <v>120464998400</v>
      </c>
      <c r="N541">
        <v>137243000832</v>
      </c>
      <c r="O541">
        <v>157527998464</v>
      </c>
      <c r="P541">
        <v>175739994112</v>
      </c>
    </row>
    <row r="542" spans="1:16" ht="12.75">
      <c r="A542" s="62" t="str">
        <f t="shared" si="8"/>
        <v>Honduras_GDP (current US$)</v>
      </c>
      <c r="B542" t="s">
        <v>475</v>
      </c>
      <c r="C542" t="s">
        <v>249</v>
      </c>
      <c r="D542" t="s">
        <v>432</v>
      </c>
      <c r="E542" t="s">
        <v>433</v>
      </c>
      <c r="F542">
        <v>4034037248</v>
      </c>
      <c r="G542">
        <v>4663194112</v>
      </c>
      <c r="H542">
        <v>5202215424</v>
      </c>
      <c r="I542">
        <v>5372543488</v>
      </c>
      <c r="J542">
        <v>5956096000</v>
      </c>
      <c r="K542">
        <v>6327923200</v>
      </c>
      <c r="L542">
        <v>6509512192</v>
      </c>
      <c r="M542">
        <v>6868016128</v>
      </c>
      <c r="N542">
        <v>7458858496</v>
      </c>
      <c r="O542">
        <v>8290947584</v>
      </c>
      <c r="P542">
        <v>9234891776</v>
      </c>
    </row>
    <row r="543" spans="1:16" ht="12.75">
      <c r="A543" s="62" t="str">
        <f t="shared" si="8"/>
        <v>Honduras_GDP per capita, PPP (current international $)</v>
      </c>
      <c r="B543" t="s">
        <v>475</v>
      </c>
      <c r="C543" t="s">
        <v>249</v>
      </c>
      <c r="D543" t="s">
        <v>434</v>
      </c>
      <c r="E543" t="s">
        <v>435</v>
      </c>
      <c r="F543">
        <v>2670.63559144354</v>
      </c>
      <c r="G543">
        <v>2774.01254027316</v>
      </c>
      <c r="H543">
        <v>2810.12008984424</v>
      </c>
      <c r="I543">
        <v>2725.18922961544</v>
      </c>
      <c r="J543">
        <v>2871.64460554104</v>
      </c>
      <c r="K543">
        <v>2945.22626236747</v>
      </c>
      <c r="L543">
        <v>3006.94013900477</v>
      </c>
      <c r="M543">
        <v>3103.54253396027</v>
      </c>
      <c r="N543">
        <v>3271.21082880164</v>
      </c>
      <c r="O543">
        <v>3430.19986932268</v>
      </c>
      <c r="P543">
        <v>3667.88564132204</v>
      </c>
    </row>
    <row r="544" spans="1:16" ht="12.75">
      <c r="A544" s="62" t="str">
        <f t="shared" si="8"/>
        <v>Honduras_GDP per capita, PPP (constant 2000 international $)</v>
      </c>
      <c r="B544" t="s">
        <v>475</v>
      </c>
      <c r="C544" t="s">
        <v>249</v>
      </c>
      <c r="D544" t="s">
        <v>436</v>
      </c>
      <c r="E544" t="s">
        <v>437</v>
      </c>
      <c r="F544">
        <v>2845.79248332842</v>
      </c>
      <c r="G544">
        <v>2907.38592601782</v>
      </c>
      <c r="H544">
        <v>2912.86644741963</v>
      </c>
      <c r="I544">
        <v>2784.59441229362</v>
      </c>
      <c r="J544">
        <v>2871.64460554104</v>
      </c>
      <c r="K544">
        <v>2875.95014758133</v>
      </c>
      <c r="L544">
        <v>2885.71094187383</v>
      </c>
      <c r="M544">
        <v>2919.00998591165</v>
      </c>
      <c r="N544">
        <v>2998.04057573874</v>
      </c>
      <c r="O544">
        <v>3051.69981491517</v>
      </c>
      <c r="P544">
        <v>3170.32690717171</v>
      </c>
    </row>
    <row r="545" spans="1:16" ht="12.75">
      <c r="A545" s="62" t="str">
        <f t="shared" si="8"/>
        <v>Honduras_GINI index</v>
      </c>
      <c r="B545" t="s">
        <v>475</v>
      </c>
      <c r="C545" t="s">
        <v>249</v>
      </c>
      <c r="D545" t="s">
        <v>438</v>
      </c>
      <c r="E545" t="s">
        <v>439</v>
      </c>
      <c r="F545">
        <v>53.72</v>
      </c>
      <c r="G545" t="s">
        <v>193</v>
      </c>
      <c r="H545">
        <v>56.3</v>
      </c>
      <c r="I545">
        <v>56.24</v>
      </c>
      <c r="J545" t="s">
        <v>193</v>
      </c>
      <c r="K545" t="s">
        <v>193</v>
      </c>
      <c r="L545" t="s">
        <v>193</v>
      </c>
      <c r="M545">
        <v>53.841</v>
      </c>
      <c r="N545" t="s">
        <v>193</v>
      </c>
      <c r="O545" t="s">
        <v>193</v>
      </c>
      <c r="P545" t="s">
        <v>193</v>
      </c>
    </row>
    <row r="546" spans="1:16" ht="12.75">
      <c r="A546" s="62" t="str">
        <f t="shared" si="8"/>
        <v>India_Poverty headcount ratio at national poverty line (% of population)</v>
      </c>
      <c r="B546" t="s">
        <v>477</v>
      </c>
      <c r="C546" t="s">
        <v>109</v>
      </c>
      <c r="D546" t="s">
        <v>408</v>
      </c>
      <c r="E546" t="s">
        <v>409</v>
      </c>
      <c r="F546" t="s">
        <v>193</v>
      </c>
      <c r="G546" t="s">
        <v>193</v>
      </c>
      <c r="H546" t="s">
        <v>193</v>
      </c>
      <c r="I546" t="s">
        <v>193</v>
      </c>
      <c r="J546">
        <v>28.6</v>
      </c>
      <c r="K546" t="s">
        <v>193</v>
      </c>
      <c r="L546" t="s">
        <v>193</v>
      </c>
      <c r="M546" t="s">
        <v>193</v>
      </c>
      <c r="N546" t="s">
        <v>193</v>
      </c>
      <c r="O546" t="s">
        <v>193</v>
      </c>
      <c r="P546" t="s">
        <v>193</v>
      </c>
    </row>
    <row r="547" spans="1:16" ht="12.75">
      <c r="A547" s="62" t="str">
        <f aca="true" t="shared" si="9" ref="A547:A610">C547&amp;"_"&amp;E547</f>
        <v>India_Poverty headcount ratio at $2 a day (PPP) (% of population)</v>
      </c>
      <c r="B547" t="s">
        <v>477</v>
      </c>
      <c r="C547" t="s">
        <v>109</v>
      </c>
      <c r="D547" t="s">
        <v>410</v>
      </c>
      <c r="E547" t="s">
        <v>411</v>
      </c>
      <c r="F547" t="s">
        <v>193</v>
      </c>
      <c r="G547" t="s">
        <v>193</v>
      </c>
      <c r="H547" t="s">
        <v>193</v>
      </c>
      <c r="I547" t="s">
        <v>193</v>
      </c>
      <c r="J547" t="s">
        <v>193</v>
      </c>
      <c r="K547" t="s">
        <v>193</v>
      </c>
      <c r="L547" t="s">
        <v>193</v>
      </c>
      <c r="M547" t="s">
        <v>193</v>
      </c>
      <c r="N547">
        <v>80.355879397</v>
      </c>
      <c r="O547" t="s">
        <v>193</v>
      </c>
      <c r="P547" t="s">
        <v>193</v>
      </c>
    </row>
    <row r="548" spans="1:16" ht="12.75">
      <c r="A548" s="62" t="str">
        <f t="shared" si="9"/>
        <v>India_Poverty headcount ratio at $1 a day (PPP) (% of population)</v>
      </c>
      <c r="B548" t="s">
        <v>477</v>
      </c>
      <c r="C548" t="s">
        <v>109</v>
      </c>
      <c r="D548" t="s">
        <v>412</v>
      </c>
      <c r="E548" t="s">
        <v>413</v>
      </c>
      <c r="F548" t="s">
        <v>193</v>
      </c>
      <c r="G548" t="s">
        <v>193</v>
      </c>
      <c r="H548" t="s">
        <v>193</v>
      </c>
      <c r="I548" t="s">
        <v>193</v>
      </c>
      <c r="J548" t="s">
        <v>193</v>
      </c>
      <c r="K548" t="s">
        <v>193</v>
      </c>
      <c r="L548" t="s">
        <v>193</v>
      </c>
      <c r="M548" t="s">
        <v>193</v>
      </c>
      <c r="N548">
        <v>34.33045</v>
      </c>
      <c r="O548" t="s">
        <v>193</v>
      </c>
      <c r="P548" t="s">
        <v>193</v>
      </c>
    </row>
    <row r="549" spans="1:16" ht="12.75">
      <c r="A549" s="62" t="str">
        <f t="shared" si="9"/>
        <v>India_Poverty gap at $1 a day (PPP) (%)</v>
      </c>
      <c r="B549" t="s">
        <v>477</v>
      </c>
      <c r="C549" t="s">
        <v>109</v>
      </c>
      <c r="D549" t="s">
        <v>414</v>
      </c>
      <c r="E549" t="s">
        <v>415</v>
      </c>
      <c r="F549" t="s">
        <v>193</v>
      </c>
      <c r="G549" t="s">
        <v>193</v>
      </c>
      <c r="H549" t="s">
        <v>193</v>
      </c>
      <c r="I549" t="s">
        <v>193</v>
      </c>
      <c r="J549" t="s">
        <v>193</v>
      </c>
      <c r="K549" t="s">
        <v>193</v>
      </c>
      <c r="L549" t="s">
        <v>193</v>
      </c>
      <c r="M549" t="s">
        <v>193</v>
      </c>
      <c r="N549">
        <v>7.88</v>
      </c>
      <c r="O549" t="s">
        <v>193</v>
      </c>
      <c r="P549" t="s">
        <v>193</v>
      </c>
    </row>
    <row r="550" spans="1:16" ht="12.75">
      <c r="A550" s="62" t="str">
        <f t="shared" si="9"/>
        <v>India_Poverty gap at $2 a day (PPP) (%)</v>
      </c>
      <c r="B550" t="s">
        <v>477</v>
      </c>
      <c r="C550" t="s">
        <v>109</v>
      </c>
      <c r="D550" t="s">
        <v>416</v>
      </c>
      <c r="E550" t="s">
        <v>417</v>
      </c>
      <c r="F550" t="s">
        <v>193</v>
      </c>
      <c r="G550" t="s">
        <v>193</v>
      </c>
      <c r="H550" t="s">
        <v>193</v>
      </c>
      <c r="I550" t="s">
        <v>193</v>
      </c>
      <c r="J550" t="s">
        <v>193</v>
      </c>
      <c r="K550" t="s">
        <v>193</v>
      </c>
      <c r="L550" t="s">
        <v>193</v>
      </c>
      <c r="M550" t="s">
        <v>193</v>
      </c>
      <c r="N550">
        <v>35.02</v>
      </c>
      <c r="O550" t="s">
        <v>193</v>
      </c>
      <c r="P550" t="s">
        <v>193</v>
      </c>
    </row>
    <row r="551" spans="1:16" ht="12.75">
      <c r="A551" s="62" t="str">
        <f t="shared" si="9"/>
        <v>India_Population, total</v>
      </c>
      <c r="B551" t="s">
        <v>477</v>
      </c>
      <c r="C551" t="s">
        <v>109</v>
      </c>
      <c r="D551" t="s">
        <v>418</v>
      </c>
      <c r="E551" t="s">
        <v>419</v>
      </c>
      <c r="F551">
        <v>948758852.890549</v>
      </c>
      <c r="G551">
        <v>965428183.114848</v>
      </c>
      <c r="H551">
        <v>982182462.141349</v>
      </c>
      <c r="I551">
        <v>999016010.49748</v>
      </c>
      <c r="J551">
        <v>1015923000</v>
      </c>
      <c r="K551">
        <v>1032473426.104</v>
      </c>
      <c r="L551">
        <v>1048640720.5863</v>
      </c>
      <c r="M551">
        <v>1064398611.55152</v>
      </c>
      <c r="N551">
        <v>1079721193.94537</v>
      </c>
      <c r="O551">
        <v>1094583000</v>
      </c>
      <c r="P551">
        <v>1109811147.4504</v>
      </c>
    </row>
    <row r="552" spans="1:16" ht="12.75">
      <c r="A552" s="62" t="str">
        <f t="shared" si="9"/>
        <v>India_Public spending on education, total (% of GDP)</v>
      </c>
      <c r="B552" t="s">
        <v>477</v>
      </c>
      <c r="C552" t="s">
        <v>109</v>
      </c>
      <c r="D552" t="s">
        <v>420</v>
      </c>
      <c r="E552" t="s">
        <v>421</v>
      </c>
      <c r="F552" t="s">
        <v>193</v>
      </c>
      <c r="G552" t="s">
        <v>193</v>
      </c>
      <c r="H552" t="s">
        <v>193</v>
      </c>
      <c r="I552">
        <v>3.99496051188363</v>
      </c>
      <c r="J552">
        <v>4.38980934949696</v>
      </c>
      <c r="K552" t="s">
        <v>193</v>
      </c>
      <c r="L552" t="s">
        <v>193</v>
      </c>
      <c r="M552">
        <v>3.67666045419922</v>
      </c>
      <c r="N552">
        <v>3.7604976657442</v>
      </c>
      <c r="O552" t="s">
        <v>193</v>
      </c>
      <c r="P552" t="s">
        <v>193</v>
      </c>
    </row>
    <row r="553" spans="1:16" ht="12.75">
      <c r="A553" s="62" t="str">
        <f t="shared" si="9"/>
        <v>India_Public spending on education, total (% of government expenditure)</v>
      </c>
      <c r="B553" t="s">
        <v>477</v>
      </c>
      <c r="C553" t="s">
        <v>109</v>
      </c>
      <c r="D553" t="s">
        <v>422</v>
      </c>
      <c r="E553" t="s">
        <v>423</v>
      </c>
      <c r="F553" t="s">
        <v>193</v>
      </c>
      <c r="G553" t="s">
        <v>193</v>
      </c>
      <c r="H553" t="s">
        <v>193</v>
      </c>
      <c r="I553">
        <v>12.721650982685</v>
      </c>
      <c r="J553">
        <v>12.7144226771259</v>
      </c>
      <c r="K553" t="s">
        <v>193</v>
      </c>
      <c r="L553" t="s">
        <v>193</v>
      </c>
      <c r="M553">
        <v>10.7376516231617</v>
      </c>
      <c r="N553" t="s">
        <v>193</v>
      </c>
      <c r="O553" t="s">
        <v>193</v>
      </c>
      <c r="P553" t="s">
        <v>193</v>
      </c>
    </row>
    <row r="554" spans="1:16" ht="12.75">
      <c r="A554" s="62" t="str">
        <f t="shared" si="9"/>
        <v>India_Health expenditure, public (% of total health expenditure)</v>
      </c>
      <c r="B554" t="s">
        <v>477</v>
      </c>
      <c r="C554" t="s">
        <v>109</v>
      </c>
      <c r="D554" t="s">
        <v>424</v>
      </c>
      <c r="E554" t="s">
        <v>425</v>
      </c>
      <c r="F554" t="s">
        <v>193</v>
      </c>
      <c r="G554" t="s">
        <v>193</v>
      </c>
      <c r="H554" t="s">
        <v>193</v>
      </c>
      <c r="I554" t="s">
        <v>193</v>
      </c>
      <c r="J554">
        <v>20.9</v>
      </c>
      <c r="K554">
        <v>19.2</v>
      </c>
      <c r="L554">
        <v>17.8</v>
      </c>
      <c r="M554">
        <v>17.1</v>
      </c>
      <c r="N554">
        <v>17.3</v>
      </c>
      <c r="O554" t="s">
        <v>193</v>
      </c>
      <c r="P554" t="s">
        <v>193</v>
      </c>
    </row>
    <row r="555" spans="1:16" ht="12.75">
      <c r="A555" s="62" t="str">
        <f t="shared" si="9"/>
        <v>India_Health expenditure, public (% of GDP)</v>
      </c>
      <c r="B555" t="s">
        <v>477</v>
      </c>
      <c r="C555" t="s">
        <v>109</v>
      </c>
      <c r="D555" t="s">
        <v>426</v>
      </c>
      <c r="E555" t="s">
        <v>427</v>
      </c>
      <c r="F555" t="s">
        <v>193</v>
      </c>
      <c r="G555" t="s">
        <v>193</v>
      </c>
      <c r="H555" t="s">
        <v>193</v>
      </c>
      <c r="I555" t="s">
        <v>193</v>
      </c>
      <c r="J555">
        <v>0.8987</v>
      </c>
      <c r="K555">
        <v>0.864</v>
      </c>
      <c r="L555">
        <v>0.8544</v>
      </c>
      <c r="M555">
        <v>0.8379</v>
      </c>
      <c r="N555">
        <v>0.865</v>
      </c>
      <c r="O555" t="s">
        <v>193</v>
      </c>
      <c r="P555" t="s">
        <v>193</v>
      </c>
    </row>
    <row r="556" spans="1:16" ht="12.75">
      <c r="A556" s="62" t="str">
        <f t="shared" si="9"/>
        <v>India_Health expenditure, total (% of GDP)</v>
      </c>
      <c r="B556" t="s">
        <v>477</v>
      </c>
      <c r="C556" t="s">
        <v>109</v>
      </c>
      <c r="D556" t="s">
        <v>428</v>
      </c>
      <c r="E556" t="s">
        <v>429</v>
      </c>
      <c r="F556" t="s">
        <v>193</v>
      </c>
      <c r="G556" t="s">
        <v>193</v>
      </c>
      <c r="H556" t="s">
        <v>193</v>
      </c>
      <c r="I556" t="s">
        <v>193</v>
      </c>
      <c r="J556">
        <v>4.3</v>
      </c>
      <c r="K556">
        <v>4.5</v>
      </c>
      <c r="L556">
        <v>4.8</v>
      </c>
      <c r="M556">
        <v>4.9</v>
      </c>
      <c r="N556">
        <v>5</v>
      </c>
      <c r="O556" t="s">
        <v>193</v>
      </c>
      <c r="P556" t="s">
        <v>193</v>
      </c>
    </row>
    <row r="557" spans="1:16" ht="12.75">
      <c r="A557" s="62" t="str">
        <f t="shared" si="9"/>
        <v>India_GDP (current LCU)</v>
      </c>
      <c r="B557" t="s">
        <v>477</v>
      </c>
      <c r="C557" t="s">
        <v>109</v>
      </c>
      <c r="D557" t="s">
        <v>430</v>
      </c>
      <c r="E557" t="s">
        <v>431</v>
      </c>
      <c r="F557">
        <v>13682079694848</v>
      </c>
      <c r="G557">
        <v>15225470320640</v>
      </c>
      <c r="H557">
        <v>17409850212352</v>
      </c>
      <c r="I557">
        <v>19520349536256</v>
      </c>
      <c r="J557">
        <v>21023749570560</v>
      </c>
      <c r="K557">
        <v>22810579697664</v>
      </c>
      <c r="L557">
        <v>24580840226816</v>
      </c>
      <c r="M557">
        <v>27654910640128</v>
      </c>
      <c r="N557">
        <v>31265961017344</v>
      </c>
      <c r="O557">
        <v>35671771185152</v>
      </c>
      <c r="P557">
        <v>41006359642112</v>
      </c>
    </row>
    <row r="558" spans="1:16" ht="12.75">
      <c r="A558" s="62" t="str">
        <f t="shared" si="9"/>
        <v>India_GDP (current US$)</v>
      </c>
      <c r="B558" t="s">
        <v>477</v>
      </c>
      <c r="C558" t="s">
        <v>109</v>
      </c>
      <c r="D558" t="s">
        <v>432</v>
      </c>
      <c r="E558" t="s">
        <v>433</v>
      </c>
      <c r="F558">
        <v>385411776512</v>
      </c>
      <c r="G558">
        <v>409674481664</v>
      </c>
      <c r="H558">
        <v>413824614400</v>
      </c>
      <c r="I558">
        <v>450476212224</v>
      </c>
      <c r="J558">
        <v>460195397632</v>
      </c>
      <c r="K558">
        <v>478290444288</v>
      </c>
      <c r="L558">
        <v>507917926400</v>
      </c>
      <c r="M558">
        <v>601826918400</v>
      </c>
      <c r="N558">
        <v>695858364416</v>
      </c>
      <c r="O558">
        <v>805732024320</v>
      </c>
      <c r="P558">
        <v>906267983872</v>
      </c>
    </row>
    <row r="559" spans="1:16" ht="12.75">
      <c r="A559" s="62" t="str">
        <f t="shared" si="9"/>
        <v>India_GDP per capita, PPP (current international $)</v>
      </c>
      <c r="B559" t="s">
        <v>477</v>
      </c>
      <c r="C559" t="s">
        <v>109</v>
      </c>
      <c r="D559" t="s">
        <v>434</v>
      </c>
      <c r="E559" t="s">
        <v>435</v>
      </c>
      <c r="F559">
        <v>1925.15064336368</v>
      </c>
      <c r="G559">
        <v>2009.65018807363</v>
      </c>
      <c r="H559">
        <v>2116.90296063764</v>
      </c>
      <c r="I559">
        <v>2261.81474358995</v>
      </c>
      <c r="J559">
        <v>2364.43762446949</v>
      </c>
      <c r="K559">
        <v>2506.6628995964</v>
      </c>
      <c r="L559">
        <v>2604.79229024369</v>
      </c>
      <c r="M559">
        <v>2838.19774270374</v>
      </c>
      <c r="N559">
        <v>3110.37730393536</v>
      </c>
      <c r="O559">
        <v>3452.49606471581</v>
      </c>
      <c r="P559">
        <v>3827.10273473945</v>
      </c>
    </row>
    <row r="560" spans="1:16" ht="12.75">
      <c r="A560" s="62" t="str">
        <f t="shared" si="9"/>
        <v>India_GDP per capita, PPP (constant 2000 international $)</v>
      </c>
      <c r="B560" t="s">
        <v>477</v>
      </c>
      <c r="C560" t="s">
        <v>109</v>
      </c>
      <c r="D560" t="s">
        <v>436</v>
      </c>
      <c r="E560" t="s">
        <v>437</v>
      </c>
      <c r="F560">
        <v>2051.41399587127</v>
      </c>
      <c r="G560">
        <v>2106.27334527081</v>
      </c>
      <c r="H560">
        <v>2194.30323592556</v>
      </c>
      <c r="I560">
        <v>2311.119032836</v>
      </c>
      <c r="J560">
        <v>2364.43762446949</v>
      </c>
      <c r="K560">
        <v>2447.70244926312</v>
      </c>
      <c r="L560">
        <v>2499.77627281688</v>
      </c>
      <c r="M560">
        <v>2669.44224617163</v>
      </c>
      <c r="N560">
        <v>2850.63783751021</v>
      </c>
      <c r="O560">
        <v>3071.53577140361</v>
      </c>
      <c r="P560">
        <v>3307.94576574685</v>
      </c>
    </row>
    <row r="561" spans="1:16" ht="12.75">
      <c r="A561" s="62" t="str">
        <f t="shared" si="9"/>
        <v>India_GINI index</v>
      </c>
      <c r="B561" t="s">
        <v>477</v>
      </c>
      <c r="C561" t="s">
        <v>109</v>
      </c>
      <c r="D561" t="s">
        <v>438</v>
      </c>
      <c r="E561" t="s">
        <v>439</v>
      </c>
      <c r="F561" t="s">
        <v>193</v>
      </c>
      <c r="G561" t="s">
        <v>193</v>
      </c>
      <c r="H561" t="s">
        <v>193</v>
      </c>
      <c r="I561" t="s">
        <v>193</v>
      </c>
      <c r="J561" t="s">
        <v>193</v>
      </c>
      <c r="K561" t="s">
        <v>193</v>
      </c>
      <c r="L561" t="s">
        <v>193</v>
      </c>
      <c r="M561" t="s">
        <v>193</v>
      </c>
      <c r="N561">
        <v>36.8</v>
      </c>
      <c r="O561" t="s">
        <v>193</v>
      </c>
      <c r="P561" t="s">
        <v>193</v>
      </c>
    </row>
    <row r="562" spans="1:16" ht="12.75">
      <c r="A562" s="62" t="str">
        <f t="shared" si="9"/>
        <v>Indonesia_Poverty headcount ratio at national poverty line (% of population)</v>
      </c>
      <c r="B562" t="s">
        <v>478</v>
      </c>
      <c r="C562" t="s">
        <v>227</v>
      </c>
      <c r="D562" t="s">
        <v>408</v>
      </c>
      <c r="E562" t="s">
        <v>409</v>
      </c>
      <c r="F562">
        <v>15.7</v>
      </c>
      <c r="G562" t="s">
        <v>193</v>
      </c>
      <c r="H562" t="s">
        <v>193</v>
      </c>
      <c r="I562">
        <v>27.1</v>
      </c>
      <c r="J562" t="s">
        <v>193</v>
      </c>
      <c r="K562" t="s">
        <v>193</v>
      </c>
      <c r="L562" t="s">
        <v>193</v>
      </c>
      <c r="M562" t="s">
        <v>193</v>
      </c>
      <c r="N562" t="s">
        <v>193</v>
      </c>
      <c r="O562" t="s">
        <v>193</v>
      </c>
      <c r="P562" t="s">
        <v>193</v>
      </c>
    </row>
    <row r="563" spans="1:16" ht="12.75">
      <c r="A563" s="62" t="str">
        <f t="shared" si="9"/>
        <v>Indonesia_Poverty headcount ratio at $2 a day (PPP) (% of population)</v>
      </c>
      <c r="B563" t="s">
        <v>478</v>
      </c>
      <c r="C563" t="s">
        <v>227</v>
      </c>
      <c r="D563" t="s">
        <v>410</v>
      </c>
      <c r="E563" t="s">
        <v>411</v>
      </c>
      <c r="F563">
        <v>59.73</v>
      </c>
      <c r="G563" t="s">
        <v>193</v>
      </c>
      <c r="H563" t="s">
        <v>193</v>
      </c>
      <c r="I563" t="s">
        <v>193</v>
      </c>
      <c r="J563">
        <v>55.39</v>
      </c>
      <c r="K563" t="s">
        <v>193</v>
      </c>
      <c r="L563">
        <v>52.42</v>
      </c>
      <c r="M563" t="s">
        <v>193</v>
      </c>
      <c r="N563" t="s">
        <v>193</v>
      </c>
      <c r="O563" t="s">
        <v>193</v>
      </c>
      <c r="P563" t="s">
        <v>193</v>
      </c>
    </row>
    <row r="564" spans="1:16" ht="12.75">
      <c r="A564" s="62" t="str">
        <f t="shared" si="9"/>
        <v>Indonesia_Poverty headcount ratio at $1 a day (PPP) (% of population)</v>
      </c>
      <c r="B564" t="s">
        <v>478</v>
      </c>
      <c r="C564" t="s">
        <v>227</v>
      </c>
      <c r="D564" t="s">
        <v>412</v>
      </c>
      <c r="E564" t="s">
        <v>413</v>
      </c>
      <c r="F564">
        <v>14.12</v>
      </c>
      <c r="G564" t="s">
        <v>193</v>
      </c>
      <c r="H564" t="s">
        <v>193</v>
      </c>
      <c r="I564" t="s">
        <v>193</v>
      </c>
      <c r="J564">
        <v>7.19</v>
      </c>
      <c r="K564" t="s">
        <v>193</v>
      </c>
      <c r="L564">
        <v>7.51</v>
      </c>
      <c r="M564" t="s">
        <v>193</v>
      </c>
      <c r="N564" t="s">
        <v>193</v>
      </c>
      <c r="O564" t="s">
        <v>193</v>
      </c>
      <c r="P564" t="s">
        <v>193</v>
      </c>
    </row>
    <row r="565" spans="1:16" ht="12.75">
      <c r="A565" s="62" t="str">
        <f t="shared" si="9"/>
        <v>Indonesia_Poverty gap at $1 a day (PPP) (%)</v>
      </c>
      <c r="B565" t="s">
        <v>478</v>
      </c>
      <c r="C565" t="s">
        <v>227</v>
      </c>
      <c r="D565" t="s">
        <v>414</v>
      </c>
      <c r="E565" t="s">
        <v>415</v>
      </c>
      <c r="F565">
        <v>2.28</v>
      </c>
      <c r="G565" t="s">
        <v>193</v>
      </c>
      <c r="H565" t="s">
        <v>193</v>
      </c>
      <c r="I565" t="s">
        <v>193</v>
      </c>
      <c r="J565">
        <v>1.04</v>
      </c>
      <c r="K565" t="s">
        <v>193</v>
      </c>
      <c r="L565">
        <v>0.908</v>
      </c>
      <c r="M565" t="s">
        <v>193</v>
      </c>
      <c r="N565" t="s">
        <v>193</v>
      </c>
      <c r="O565" t="s">
        <v>193</v>
      </c>
      <c r="P565" t="s">
        <v>193</v>
      </c>
    </row>
    <row r="566" spans="1:16" ht="12.75">
      <c r="A566" s="62" t="str">
        <f t="shared" si="9"/>
        <v>Indonesia_Poverty gap at $2 a day (PPP) (%)</v>
      </c>
      <c r="B566" t="s">
        <v>478</v>
      </c>
      <c r="C566" t="s">
        <v>227</v>
      </c>
      <c r="D566" t="s">
        <v>416</v>
      </c>
      <c r="E566" t="s">
        <v>417</v>
      </c>
      <c r="F566">
        <v>20.39</v>
      </c>
      <c r="G566" t="s">
        <v>193</v>
      </c>
      <c r="H566" t="s">
        <v>193</v>
      </c>
      <c r="I566" t="s">
        <v>193</v>
      </c>
      <c r="J566">
        <v>16.36</v>
      </c>
      <c r="K566" t="s">
        <v>193</v>
      </c>
      <c r="L566">
        <v>15.707</v>
      </c>
      <c r="M566" t="s">
        <v>193</v>
      </c>
      <c r="N566" t="s">
        <v>193</v>
      </c>
      <c r="O566" t="s">
        <v>193</v>
      </c>
      <c r="P566" t="s">
        <v>193</v>
      </c>
    </row>
    <row r="567" spans="1:16" ht="12.75">
      <c r="A567" s="62" t="str">
        <f t="shared" si="9"/>
        <v>Indonesia_Population, total</v>
      </c>
      <c r="B567" t="s">
        <v>478</v>
      </c>
      <c r="C567" t="s">
        <v>227</v>
      </c>
      <c r="D567" t="s">
        <v>418</v>
      </c>
      <c r="E567" t="s">
        <v>419</v>
      </c>
      <c r="F567">
        <v>195457134.297858</v>
      </c>
      <c r="G567">
        <v>198163293.953441</v>
      </c>
      <c r="H567">
        <v>200867393.241035</v>
      </c>
      <c r="I567">
        <v>203568332.736215</v>
      </c>
      <c r="J567">
        <v>206265000</v>
      </c>
      <c r="K567">
        <v>209014094.827829</v>
      </c>
      <c r="L567">
        <v>211816758.363531</v>
      </c>
      <c r="M567">
        <v>214674159.937341</v>
      </c>
      <c r="N567">
        <v>217587497.820229</v>
      </c>
      <c r="O567">
        <v>220558000</v>
      </c>
      <c r="P567">
        <v>223041631.843317</v>
      </c>
    </row>
    <row r="568" spans="1:16" ht="12.75">
      <c r="A568" s="62" t="str">
        <f t="shared" si="9"/>
        <v>Indonesia_Public spending on education, total (% of GDP)</v>
      </c>
      <c r="B568" t="s">
        <v>478</v>
      </c>
      <c r="C568" t="s">
        <v>227</v>
      </c>
      <c r="D568" t="s">
        <v>420</v>
      </c>
      <c r="E568" t="s">
        <v>421</v>
      </c>
      <c r="F568" t="s">
        <v>193</v>
      </c>
      <c r="G568" t="s">
        <v>193</v>
      </c>
      <c r="H568" t="s">
        <v>193</v>
      </c>
      <c r="I568" t="s">
        <v>193</v>
      </c>
      <c r="J568">
        <v>1.36049706876196</v>
      </c>
      <c r="K568">
        <v>1.14588458258113</v>
      </c>
      <c r="L568">
        <v>1.06027376992336</v>
      </c>
      <c r="M568">
        <v>0.947662296252266</v>
      </c>
      <c r="N568" t="s">
        <v>193</v>
      </c>
      <c r="O568" t="s">
        <v>193</v>
      </c>
      <c r="P568" t="s">
        <v>193</v>
      </c>
    </row>
    <row r="569" spans="1:16" ht="12.75">
      <c r="A569" s="62" t="str">
        <f t="shared" si="9"/>
        <v>Indonesia_Public spending on education, total (% of government expenditure)</v>
      </c>
      <c r="B569" t="s">
        <v>478</v>
      </c>
      <c r="C569" t="s">
        <v>227</v>
      </c>
      <c r="D569" t="s">
        <v>422</v>
      </c>
      <c r="E569" t="s">
        <v>423</v>
      </c>
      <c r="F569" t="s">
        <v>193</v>
      </c>
      <c r="G569" t="s">
        <v>193</v>
      </c>
      <c r="H569" t="s">
        <v>193</v>
      </c>
      <c r="I569" t="s">
        <v>193</v>
      </c>
      <c r="J569" t="s">
        <v>193</v>
      </c>
      <c r="K569">
        <v>9.79540262183025</v>
      </c>
      <c r="L569">
        <v>9.0265451594436</v>
      </c>
      <c r="M569" t="s">
        <v>193</v>
      </c>
      <c r="N569" t="s">
        <v>193</v>
      </c>
      <c r="O569" t="s">
        <v>193</v>
      </c>
      <c r="P569" t="s">
        <v>193</v>
      </c>
    </row>
    <row r="570" spans="1:16" ht="12.75">
      <c r="A570" s="62" t="str">
        <f t="shared" si="9"/>
        <v>Indonesia_Health expenditure, public (% of total health expenditure)</v>
      </c>
      <c r="B570" t="s">
        <v>478</v>
      </c>
      <c r="C570" t="s">
        <v>227</v>
      </c>
      <c r="D570" t="s">
        <v>424</v>
      </c>
      <c r="E570" t="s">
        <v>425</v>
      </c>
      <c r="F570" t="s">
        <v>193</v>
      </c>
      <c r="G570" t="s">
        <v>193</v>
      </c>
      <c r="H570" t="s">
        <v>193</v>
      </c>
      <c r="I570" t="s">
        <v>193</v>
      </c>
      <c r="J570">
        <v>26.3</v>
      </c>
      <c r="K570">
        <v>33.1</v>
      </c>
      <c r="L570">
        <v>33.7</v>
      </c>
      <c r="M570">
        <v>31.6</v>
      </c>
      <c r="N570">
        <v>34.2</v>
      </c>
      <c r="O570" t="s">
        <v>193</v>
      </c>
      <c r="P570" t="s">
        <v>193</v>
      </c>
    </row>
    <row r="571" spans="1:16" ht="12.75">
      <c r="A571" s="62" t="str">
        <f t="shared" si="9"/>
        <v>Indonesia_Health expenditure, public (% of GDP)</v>
      </c>
      <c r="B571" t="s">
        <v>478</v>
      </c>
      <c r="C571" t="s">
        <v>227</v>
      </c>
      <c r="D571" t="s">
        <v>426</v>
      </c>
      <c r="E571" t="s">
        <v>427</v>
      </c>
      <c r="F571" t="s">
        <v>193</v>
      </c>
      <c r="G571" t="s">
        <v>193</v>
      </c>
      <c r="H571" t="s">
        <v>193</v>
      </c>
      <c r="I571" t="s">
        <v>193</v>
      </c>
      <c r="J571">
        <v>0.6049</v>
      </c>
      <c r="K571">
        <v>0.8937</v>
      </c>
      <c r="L571">
        <v>0.9436</v>
      </c>
      <c r="M571">
        <v>0.9164</v>
      </c>
      <c r="N571">
        <v>0.9576</v>
      </c>
      <c r="O571" t="s">
        <v>193</v>
      </c>
      <c r="P571" t="s">
        <v>193</v>
      </c>
    </row>
    <row r="572" spans="1:16" ht="12.75">
      <c r="A572" s="62" t="str">
        <f t="shared" si="9"/>
        <v>Indonesia_Health expenditure, total (% of GDP)</v>
      </c>
      <c r="B572" t="s">
        <v>478</v>
      </c>
      <c r="C572" t="s">
        <v>227</v>
      </c>
      <c r="D572" t="s">
        <v>428</v>
      </c>
      <c r="E572" t="s">
        <v>429</v>
      </c>
      <c r="F572" t="s">
        <v>193</v>
      </c>
      <c r="G572" t="s">
        <v>193</v>
      </c>
      <c r="H572" t="s">
        <v>193</v>
      </c>
      <c r="I572" t="s">
        <v>193</v>
      </c>
      <c r="J572">
        <v>2.3</v>
      </c>
      <c r="K572">
        <v>2.7</v>
      </c>
      <c r="L572">
        <v>2.8</v>
      </c>
      <c r="M572">
        <v>2.9</v>
      </c>
      <c r="N572">
        <v>2.8</v>
      </c>
      <c r="O572" t="s">
        <v>193</v>
      </c>
      <c r="P572" t="s">
        <v>193</v>
      </c>
    </row>
    <row r="573" spans="1:16" ht="12.75">
      <c r="A573" s="62" t="str">
        <f t="shared" si="9"/>
        <v>Indonesia_GDP (current LCU)</v>
      </c>
      <c r="B573" t="s">
        <v>478</v>
      </c>
      <c r="C573" t="s">
        <v>227</v>
      </c>
      <c r="D573" t="s">
        <v>430</v>
      </c>
      <c r="E573" t="s">
        <v>431</v>
      </c>
      <c r="F573">
        <v>532567992303616</v>
      </c>
      <c r="G573">
        <v>627695377448960</v>
      </c>
      <c r="H573">
        <v>955753502343168</v>
      </c>
      <c r="I573" s="61">
        <v>1099731610632190</v>
      </c>
      <c r="J573" s="61">
        <v>1389769946824700</v>
      </c>
      <c r="K573" s="61">
        <v>1646322033623040</v>
      </c>
      <c r="L573" s="61">
        <v>1821833456254980</v>
      </c>
      <c r="M573" s="61">
        <v>2013674612981760</v>
      </c>
      <c r="N573" s="61">
        <v>2295826181259260</v>
      </c>
      <c r="O573" s="61">
        <v>2784960410812420</v>
      </c>
      <c r="P573" s="61">
        <v>3338195685081090</v>
      </c>
    </row>
    <row r="574" spans="1:16" ht="12.75">
      <c r="A574" s="62" t="str">
        <f t="shared" si="9"/>
        <v>Indonesia_GDP (current US$)</v>
      </c>
      <c r="B574" t="s">
        <v>478</v>
      </c>
      <c r="C574" t="s">
        <v>227</v>
      </c>
      <c r="D574" t="s">
        <v>432</v>
      </c>
      <c r="E574" t="s">
        <v>433</v>
      </c>
      <c r="F574">
        <v>227369664512</v>
      </c>
      <c r="G574">
        <v>215748853760</v>
      </c>
      <c r="H574">
        <v>95445549056</v>
      </c>
      <c r="I574">
        <v>140001345536</v>
      </c>
      <c r="J574">
        <v>165020532736</v>
      </c>
      <c r="K574">
        <v>160446152704</v>
      </c>
      <c r="L574">
        <v>195660431360</v>
      </c>
      <c r="M574">
        <v>234773364736</v>
      </c>
      <c r="N574">
        <v>256835420160</v>
      </c>
      <c r="O574">
        <v>286961401856</v>
      </c>
      <c r="P574">
        <v>364458901504</v>
      </c>
    </row>
    <row r="575" spans="1:16" ht="12.75">
      <c r="A575" s="62" t="str">
        <f t="shared" si="9"/>
        <v>Indonesia_GDP per capita, PPP (current international $)</v>
      </c>
      <c r="B575" t="s">
        <v>478</v>
      </c>
      <c r="C575" t="s">
        <v>227</v>
      </c>
      <c r="D575" t="s">
        <v>434</v>
      </c>
      <c r="E575" t="s">
        <v>435</v>
      </c>
      <c r="F575">
        <v>2991.33719440701</v>
      </c>
      <c r="G575">
        <v>3140.75557298068</v>
      </c>
      <c r="H575">
        <v>2721.6524731287</v>
      </c>
      <c r="I575">
        <v>2745.89955886286</v>
      </c>
      <c r="J575">
        <v>2905.31320429867</v>
      </c>
      <c r="K575">
        <v>3043.14428658077</v>
      </c>
      <c r="L575">
        <v>3192.90653352893</v>
      </c>
      <c r="M575">
        <v>3368.19333367558</v>
      </c>
      <c r="N575">
        <v>3581.86090314435</v>
      </c>
      <c r="O575">
        <v>3847.08201867019</v>
      </c>
      <c r="P575">
        <v>4130.35453068402</v>
      </c>
    </row>
    <row r="576" spans="1:16" ht="12.75">
      <c r="A576" s="62" t="str">
        <f t="shared" si="9"/>
        <v>Indonesia_GDP per capita, PPP (constant 2000 international $)</v>
      </c>
      <c r="B576" t="s">
        <v>478</v>
      </c>
      <c r="C576" t="s">
        <v>227</v>
      </c>
      <c r="D576" t="s">
        <v>436</v>
      </c>
      <c r="E576" t="s">
        <v>437</v>
      </c>
      <c r="F576">
        <v>3187.52769199142</v>
      </c>
      <c r="G576">
        <v>3291.76181339356</v>
      </c>
      <c r="H576">
        <v>2821.16419122595</v>
      </c>
      <c r="I576">
        <v>2805.75619675703</v>
      </c>
      <c r="J576">
        <v>2905.31320429867</v>
      </c>
      <c r="K576">
        <v>2971.56499381075</v>
      </c>
      <c r="L576">
        <v>3064.17982874592</v>
      </c>
      <c r="M576">
        <v>3167.92499793267</v>
      </c>
      <c r="N576">
        <v>3282.74907558095</v>
      </c>
      <c r="O576">
        <v>3422.58175371499</v>
      </c>
      <c r="P576">
        <v>3570.06062491806</v>
      </c>
    </row>
    <row r="577" spans="1:16" ht="12.75">
      <c r="A577" s="62" t="str">
        <f t="shared" si="9"/>
        <v>Indonesia_GINI index</v>
      </c>
      <c r="B577" t="s">
        <v>478</v>
      </c>
      <c r="C577" t="s">
        <v>227</v>
      </c>
      <c r="D577" t="s">
        <v>438</v>
      </c>
      <c r="E577" t="s">
        <v>439</v>
      </c>
      <c r="F577">
        <v>36.55</v>
      </c>
      <c r="G577" t="s">
        <v>193</v>
      </c>
      <c r="H577" t="s">
        <v>193</v>
      </c>
      <c r="I577" t="s">
        <v>193</v>
      </c>
      <c r="J577">
        <v>30.33</v>
      </c>
      <c r="K577" t="s">
        <v>193</v>
      </c>
      <c r="L577">
        <v>34.3079</v>
      </c>
      <c r="M577" t="s">
        <v>193</v>
      </c>
      <c r="N577" t="s">
        <v>193</v>
      </c>
      <c r="O577" t="s">
        <v>193</v>
      </c>
      <c r="P577" t="s">
        <v>193</v>
      </c>
    </row>
    <row r="578" spans="1:16" ht="12.75">
      <c r="A578" s="62" t="str">
        <f t="shared" si="9"/>
        <v>Iran, Islamic Rep._Poverty headcount ratio at national poverty line (% of population)</v>
      </c>
      <c r="B578" t="s">
        <v>479</v>
      </c>
      <c r="C578" t="s">
        <v>480</v>
      </c>
      <c r="D578" t="s">
        <v>408</v>
      </c>
      <c r="E578" t="s">
        <v>409</v>
      </c>
      <c r="F578" t="s">
        <v>193</v>
      </c>
      <c r="G578" t="s">
        <v>193</v>
      </c>
      <c r="H578" t="s">
        <v>193</v>
      </c>
      <c r="I578" t="s">
        <v>193</v>
      </c>
      <c r="J578" t="s">
        <v>193</v>
      </c>
      <c r="K578" t="s">
        <v>193</v>
      </c>
      <c r="L578" t="s">
        <v>193</v>
      </c>
      <c r="M578" t="s">
        <v>193</v>
      </c>
      <c r="N578" t="s">
        <v>193</v>
      </c>
      <c r="O578" t="s">
        <v>193</v>
      </c>
      <c r="P578" t="s">
        <v>193</v>
      </c>
    </row>
    <row r="579" spans="1:16" ht="12.75">
      <c r="A579" s="62" t="str">
        <f t="shared" si="9"/>
        <v>Iran, Islamic Rep._Poverty headcount ratio at $2 a day (PPP) (% of population)</v>
      </c>
      <c r="B579" t="s">
        <v>479</v>
      </c>
      <c r="C579" t="s">
        <v>480</v>
      </c>
      <c r="D579" t="s">
        <v>410</v>
      </c>
      <c r="E579" t="s">
        <v>411</v>
      </c>
      <c r="F579" t="s">
        <v>193</v>
      </c>
      <c r="G579" t="s">
        <v>193</v>
      </c>
      <c r="H579">
        <v>7.31</v>
      </c>
      <c r="I579" t="s">
        <v>193</v>
      </c>
      <c r="J579" t="s">
        <v>193</v>
      </c>
      <c r="K579" t="s">
        <v>193</v>
      </c>
      <c r="L579" t="s">
        <v>193</v>
      </c>
      <c r="M579" t="s">
        <v>193</v>
      </c>
      <c r="N579" t="s">
        <v>193</v>
      </c>
      <c r="O579" t="s">
        <v>193</v>
      </c>
      <c r="P579" t="s">
        <v>193</v>
      </c>
    </row>
    <row r="580" spans="1:16" ht="12.75">
      <c r="A580" s="62" t="str">
        <f t="shared" si="9"/>
        <v>Iran, Islamic Rep._Poverty headcount ratio at $1 a day (PPP) (% of population)</v>
      </c>
      <c r="B580" t="s">
        <v>479</v>
      </c>
      <c r="C580" t="s">
        <v>480</v>
      </c>
      <c r="D580" t="s">
        <v>412</v>
      </c>
      <c r="E580" t="s">
        <v>413</v>
      </c>
      <c r="F580" t="s">
        <v>193</v>
      </c>
      <c r="G580" t="s">
        <v>193</v>
      </c>
      <c r="H580">
        <v>2</v>
      </c>
      <c r="I580" t="s">
        <v>193</v>
      </c>
      <c r="J580" t="s">
        <v>193</v>
      </c>
      <c r="K580" t="s">
        <v>193</v>
      </c>
      <c r="L580" t="s">
        <v>193</v>
      </c>
      <c r="M580" t="s">
        <v>193</v>
      </c>
      <c r="N580" t="s">
        <v>193</v>
      </c>
      <c r="O580" t="s">
        <v>193</v>
      </c>
      <c r="P580" t="s">
        <v>193</v>
      </c>
    </row>
    <row r="581" spans="1:16" ht="12.75">
      <c r="A581" s="62" t="str">
        <f t="shared" si="9"/>
        <v>Iran, Islamic Rep._Poverty gap at $1 a day (PPP) (%)</v>
      </c>
      <c r="B581" t="s">
        <v>479</v>
      </c>
      <c r="C581" t="s">
        <v>480</v>
      </c>
      <c r="D581" t="s">
        <v>414</v>
      </c>
      <c r="E581" t="s">
        <v>415</v>
      </c>
      <c r="F581" t="s">
        <v>193</v>
      </c>
      <c r="G581" t="s">
        <v>193</v>
      </c>
      <c r="H581">
        <v>0.5</v>
      </c>
      <c r="I581" t="s">
        <v>193</v>
      </c>
      <c r="J581" t="s">
        <v>193</v>
      </c>
      <c r="K581" t="s">
        <v>193</v>
      </c>
      <c r="L581" t="s">
        <v>193</v>
      </c>
      <c r="M581" t="s">
        <v>193</v>
      </c>
      <c r="N581" t="s">
        <v>193</v>
      </c>
      <c r="O581" t="s">
        <v>193</v>
      </c>
      <c r="P581" t="s">
        <v>193</v>
      </c>
    </row>
    <row r="582" spans="1:16" ht="12.75">
      <c r="A582" s="62" t="str">
        <f t="shared" si="9"/>
        <v>Iran, Islamic Rep._Poverty gap at $2 a day (PPP) (%)</v>
      </c>
      <c r="B582" t="s">
        <v>479</v>
      </c>
      <c r="C582" t="s">
        <v>480</v>
      </c>
      <c r="D582" t="s">
        <v>416</v>
      </c>
      <c r="E582" t="s">
        <v>417</v>
      </c>
      <c r="F582" t="s">
        <v>193</v>
      </c>
      <c r="G582" t="s">
        <v>193</v>
      </c>
      <c r="H582">
        <v>1.505</v>
      </c>
      <c r="I582" t="s">
        <v>193</v>
      </c>
      <c r="J582" t="s">
        <v>193</v>
      </c>
      <c r="K582" t="s">
        <v>193</v>
      </c>
      <c r="L582" t="s">
        <v>193</v>
      </c>
      <c r="M582" t="s">
        <v>193</v>
      </c>
      <c r="N582" t="s">
        <v>193</v>
      </c>
      <c r="O582" t="s">
        <v>193</v>
      </c>
      <c r="P582" t="s">
        <v>193</v>
      </c>
    </row>
    <row r="583" spans="1:16" ht="12.75">
      <c r="A583" s="62" t="str">
        <f t="shared" si="9"/>
        <v>Iran, Islamic Rep._Population, total</v>
      </c>
      <c r="B583" t="s">
        <v>479</v>
      </c>
      <c r="C583" t="s">
        <v>480</v>
      </c>
      <c r="D583" t="s">
        <v>418</v>
      </c>
      <c r="E583" t="s">
        <v>419</v>
      </c>
      <c r="F583">
        <v>59879344</v>
      </c>
      <c r="G583">
        <v>60875000</v>
      </c>
      <c r="H583">
        <v>61850000</v>
      </c>
      <c r="I583">
        <v>62736000</v>
      </c>
      <c r="J583">
        <v>63664000</v>
      </c>
      <c r="K583">
        <v>64528000</v>
      </c>
      <c r="L583">
        <v>65540000</v>
      </c>
      <c r="M583">
        <v>66392020</v>
      </c>
      <c r="N583">
        <v>67315135.0574671</v>
      </c>
      <c r="O583">
        <v>68251085.1124132</v>
      </c>
      <c r="P583">
        <v>69152538.8640295</v>
      </c>
    </row>
    <row r="584" spans="1:16" ht="12.75">
      <c r="A584" s="62" t="str">
        <f t="shared" si="9"/>
        <v>Iran, Islamic Rep._Public spending on education, total (% of GDP)</v>
      </c>
      <c r="B584" t="s">
        <v>479</v>
      </c>
      <c r="C584" t="s">
        <v>480</v>
      </c>
      <c r="D584" t="s">
        <v>420</v>
      </c>
      <c r="E584" t="s">
        <v>421</v>
      </c>
      <c r="F584" t="s">
        <v>193</v>
      </c>
      <c r="G584" t="s">
        <v>193</v>
      </c>
      <c r="H584" t="s">
        <v>193</v>
      </c>
      <c r="I584">
        <v>4.54975611143723</v>
      </c>
      <c r="J584">
        <v>4.34888261106555</v>
      </c>
      <c r="K584">
        <v>4.41516699956484</v>
      </c>
      <c r="L584">
        <v>4.95253006952859</v>
      </c>
      <c r="M584">
        <v>4.76241733543542</v>
      </c>
      <c r="N584">
        <v>4.72720714519899</v>
      </c>
      <c r="O584">
        <v>4.71661002570279</v>
      </c>
      <c r="P584" t="s">
        <v>193</v>
      </c>
    </row>
    <row r="585" spans="1:16" ht="12.75">
      <c r="A585" s="62" t="str">
        <f t="shared" si="9"/>
        <v>Iran, Islamic Rep._Public spending on education, total (% of government expenditure)</v>
      </c>
      <c r="B585" t="s">
        <v>479</v>
      </c>
      <c r="C585" t="s">
        <v>480</v>
      </c>
      <c r="D585" t="s">
        <v>422</v>
      </c>
      <c r="E585" t="s">
        <v>423</v>
      </c>
      <c r="F585" t="s">
        <v>193</v>
      </c>
      <c r="G585" t="s">
        <v>193</v>
      </c>
      <c r="H585" t="s">
        <v>193</v>
      </c>
      <c r="I585">
        <v>18.6744743544542</v>
      </c>
      <c r="J585">
        <v>18.2789879448927</v>
      </c>
      <c r="K585">
        <v>20.3971526919721</v>
      </c>
      <c r="L585">
        <v>21.6887143753276</v>
      </c>
      <c r="M585">
        <v>17.692741941442</v>
      </c>
      <c r="N585">
        <v>17.8628132742377</v>
      </c>
      <c r="O585">
        <v>22.8477768564616</v>
      </c>
      <c r="P585" t="s">
        <v>193</v>
      </c>
    </row>
    <row r="586" spans="1:16" ht="12.75">
      <c r="A586" s="62" t="str">
        <f t="shared" si="9"/>
        <v>Iran, Islamic Rep._Health expenditure, public (% of total health expenditure)</v>
      </c>
      <c r="B586" t="s">
        <v>479</v>
      </c>
      <c r="C586" t="s">
        <v>480</v>
      </c>
      <c r="D586" t="s">
        <v>424</v>
      </c>
      <c r="E586" t="s">
        <v>425</v>
      </c>
      <c r="F586" t="s">
        <v>193</v>
      </c>
      <c r="G586" t="s">
        <v>193</v>
      </c>
      <c r="H586" t="s">
        <v>193</v>
      </c>
      <c r="I586" t="s">
        <v>193</v>
      </c>
      <c r="J586">
        <v>41</v>
      </c>
      <c r="K586">
        <v>41.4</v>
      </c>
      <c r="L586">
        <v>39.8</v>
      </c>
      <c r="M586">
        <v>48.9</v>
      </c>
      <c r="N586">
        <v>47.8</v>
      </c>
      <c r="O586" t="s">
        <v>193</v>
      </c>
      <c r="P586" t="s">
        <v>193</v>
      </c>
    </row>
    <row r="587" spans="1:16" ht="12.75">
      <c r="A587" s="62" t="str">
        <f t="shared" si="9"/>
        <v>Iran, Islamic Rep._Health expenditure, public (% of GDP)</v>
      </c>
      <c r="B587" t="s">
        <v>479</v>
      </c>
      <c r="C587" t="s">
        <v>480</v>
      </c>
      <c r="D587" t="s">
        <v>426</v>
      </c>
      <c r="E587" t="s">
        <v>427</v>
      </c>
      <c r="F587" t="s">
        <v>193</v>
      </c>
      <c r="G587" t="s">
        <v>193</v>
      </c>
      <c r="H587" t="s">
        <v>193</v>
      </c>
      <c r="I587" t="s">
        <v>193</v>
      </c>
      <c r="J587">
        <v>2.296</v>
      </c>
      <c r="K587">
        <v>2.484</v>
      </c>
      <c r="L587">
        <v>2.388</v>
      </c>
      <c r="M587">
        <v>3.2763</v>
      </c>
      <c r="N587">
        <v>3.1548</v>
      </c>
      <c r="O587" t="s">
        <v>193</v>
      </c>
      <c r="P587" t="s">
        <v>193</v>
      </c>
    </row>
    <row r="588" spans="1:16" ht="12.75">
      <c r="A588" s="62" t="str">
        <f t="shared" si="9"/>
        <v>Iran, Islamic Rep._Health expenditure, total (% of GDP)</v>
      </c>
      <c r="B588" t="s">
        <v>479</v>
      </c>
      <c r="C588" t="s">
        <v>480</v>
      </c>
      <c r="D588" t="s">
        <v>428</v>
      </c>
      <c r="E588" t="s">
        <v>429</v>
      </c>
      <c r="F588" t="s">
        <v>193</v>
      </c>
      <c r="G588" t="s">
        <v>193</v>
      </c>
      <c r="H588" t="s">
        <v>193</v>
      </c>
      <c r="I588" t="s">
        <v>193</v>
      </c>
      <c r="J588">
        <v>5.6</v>
      </c>
      <c r="K588">
        <v>6</v>
      </c>
      <c r="L588">
        <v>6</v>
      </c>
      <c r="M588">
        <v>6.7</v>
      </c>
      <c r="N588">
        <v>6.6</v>
      </c>
      <c r="O588" t="s">
        <v>193</v>
      </c>
      <c r="P588" t="s">
        <v>193</v>
      </c>
    </row>
    <row r="589" spans="1:16" ht="12.75">
      <c r="A589" s="62" t="str">
        <f t="shared" si="9"/>
        <v>Iran, Islamic Rep._GDP (current LCU)</v>
      </c>
      <c r="B589" t="s">
        <v>479</v>
      </c>
      <c r="C589" t="s">
        <v>480</v>
      </c>
      <c r="D589" t="s">
        <v>430</v>
      </c>
      <c r="E589" t="s">
        <v>431</v>
      </c>
      <c r="F589">
        <v>248347944288256</v>
      </c>
      <c r="G589">
        <v>292677794922496</v>
      </c>
      <c r="H589">
        <v>329134014201856</v>
      </c>
      <c r="I589">
        <v>436624999579648</v>
      </c>
      <c r="J589">
        <v>580473017335808</v>
      </c>
      <c r="K589">
        <v>671735972102144</v>
      </c>
      <c r="L589">
        <v>926476991987712</v>
      </c>
      <c r="M589" s="61">
        <v>1109531987804160</v>
      </c>
      <c r="N589" s="61">
        <v>1406032035184640</v>
      </c>
      <c r="O589" s="61">
        <v>1701213997367300</v>
      </c>
      <c r="P589" s="61">
        <v>2044106201104380</v>
      </c>
    </row>
    <row r="590" spans="1:16" ht="12.75">
      <c r="A590" s="62" t="str">
        <f t="shared" si="9"/>
        <v>Iran, Islamic Rep._GDP (current US$)</v>
      </c>
      <c r="B590" t="s">
        <v>479</v>
      </c>
      <c r="C590" t="s">
        <v>480</v>
      </c>
      <c r="D590" t="s">
        <v>432</v>
      </c>
      <c r="E590" t="s">
        <v>433</v>
      </c>
      <c r="F590">
        <v>110573436928</v>
      </c>
      <c r="G590">
        <v>105298722816</v>
      </c>
      <c r="H590">
        <v>102661890048</v>
      </c>
      <c r="I590">
        <v>104656044032</v>
      </c>
      <c r="J590">
        <v>101286518784</v>
      </c>
      <c r="K590">
        <v>115438387200</v>
      </c>
      <c r="L590">
        <v>116420837376</v>
      </c>
      <c r="M590">
        <v>135409680384</v>
      </c>
      <c r="N590">
        <v>163226583040</v>
      </c>
      <c r="O590">
        <v>189783785472</v>
      </c>
      <c r="P590">
        <v>222889492480</v>
      </c>
    </row>
    <row r="591" spans="1:16" ht="12.75">
      <c r="A591" s="62" t="str">
        <f t="shared" si="9"/>
        <v>Iran, Islamic Rep._GDP per capita, PPP (current international $)</v>
      </c>
      <c r="B591" t="s">
        <v>479</v>
      </c>
      <c r="C591" t="s">
        <v>480</v>
      </c>
      <c r="D591" t="s">
        <v>434</v>
      </c>
      <c r="E591" t="s">
        <v>435</v>
      </c>
      <c r="F591">
        <v>5088.99991036993</v>
      </c>
      <c r="G591">
        <v>5261.6453371397</v>
      </c>
      <c r="H591">
        <v>5379.74170305637</v>
      </c>
      <c r="I591">
        <v>5484.44955043411</v>
      </c>
      <c r="J591">
        <v>5806.3374985323</v>
      </c>
      <c r="K591">
        <v>6081.86850282474</v>
      </c>
      <c r="L591">
        <v>6550.65773286998</v>
      </c>
      <c r="M591">
        <v>7067.64308532889</v>
      </c>
      <c r="N591">
        <v>7517.32772107116</v>
      </c>
      <c r="O591">
        <v>7971.22107709436</v>
      </c>
      <c r="P591">
        <v>8567.34153046222</v>
      </c>
    </row>
    <row r="592" spans="1:16" ht="12.75">
      <c r="A592" s="62" t="str">
        <f t="shared" si="9"/>
        <v>Iran, Islamic Rep._GDP per capita, PPP (constant 2000 international $)</v>
      </c>
      <c r="B592" t="s">
        <v>479</v>
      </c>
      <c r="C592" t="s">
        <v>480</v>
      </c>
      <c r="D592" t="s">
        <v>436</v>
      </c>
      <c r="E592" t="s">
        <v>437</v>
      </c>
      <c r="F592">
        <v>5422.76817510762</v>
      </c>
      <c r="G592">
        <v>5514.62308796588</v>
      </c>
      <c r="H592">
        <v>5576.44107782083</v>
      </c>
      <c r="I592">
        <v>5604.00261628811</v>
      </c>
      <c r="J592">
        <v>5806.3374985323</v>
      </c>
      <c r="K592">
        <v>5938.813883932</v>
      </c>
      <c r="L592">
        <v>6286.55836909007</v>
      </c>
      <c r="M592">
        <v>6647.41034388495</v>
      </c>
      <c r="N592">
        <v>6889.57536165689</v>
      </c>
      <c r="O592">
        <v>7091.64912026544</v>
      </c>
      <c r="P592">
        <v>7405.158184584</v>
      </c>
    </row>
    <row r="593" spans="1:16" ht="12.75">
      <c r="A593" s="62" t="str">
        <f t="shared" si="9"/>
        <v>Iran, Islamic Rep._GINI index</v>
      </c>
      <c r="B593" t="s">
        <v>479</v>
      </c>
      <c r="C593" t="s">
        <v>480</v>
      </c>
      <c r="D593" t="s">
        <v>438</v>
      </c>
      <c r="E593" t="s">
        <v>439</v>
      </c>
      <c r="F593" t="s">
        <v>193</v>
      </c>
      <c r="G593" t="s">
        <v>193</v>
      </c>
      <c r="H593">
        <v>43</v>
      </c>
      <c r="I593" t="s">
        <v>193</v>
      </c>
      <c r="J593" t="s">
        <v>193</v>
      </c>
      <c r="K593" t="s">
        <v>193</v>
      </c>
      <c r="L593" t="s">
        <v>193</v>
      </c>
      <c r="M593" t="s">
        <v>193</v>
      </c>
      <c r="N593" t="s">
        <v>193</v>
      </c>
      <c r="O593" t="s">
        <v>193</v>
      </c>
      <c r="P593" t="s">
        <v>193</v>
      </c>
    </row>
    <row r="594" spans="1:16" ht="12.75">
      <c r="A594" s="62" t="str">
        <f t="shared" si="9"/>
        <v>Iraq_Poverty headcount ratio at national poverty line (% of population)</v>
      </c>
      <c r="B594" t="s">
        <v>481</v>
      </c>
      <c r="C594" t="s">
        <v>98</v>
      </c>
      <c r="D594" t="s">
        <v>408</v>
      </c>
      <c r="E594" t="s">
        <v>409</v>
      </c>
      <c r="F594" t="s">
        <v>193</v>
      </c>
      <c r="G594" t="s">
        <v>193</v>
      </c>
      <c r="H594" t="s">
        <v>193</v>
      </c>
      <c r="I594" t="s">
        <v>193</v>
      </c>
      <c r="J594" t="s">
        <v>193</v>
      </c>
      <c r="K594" t="s">
        <v>193</v>
      </c>
      <c r="L594" t="s">
        <v>193</v>
      </c>
      <c r="M594" t="s">
        <v>193</v>
      </c>
      <c r="N594" t="s">
        <v>193</v>
      </c>
      <c r="O594" t="s">
        <v>193</v>
      </c>
      <c r="P594" t="s">
        <v>193</v>
      </c>
    </row>
    <row r="595" spans="1:16" ht="12.75">
      <c r="A595" s="62" t="str">
        <f t="shared" si="9"/>
        <v>Iraq_Poverty headcount ratio at $2 a day (PPP) (% of population)</v>
      </c>
      <c r="B595" t="s">
        <v>481</v>
      </c>
      <c r="C595" t="s">
        <v>98</v>
      </c>
      <c r="D595" t="s">
        <v>410</v>
      </c>
      <c r="E595" t="s">
        <v>411</v>
      </c>
      <c r="F595" t="s">
        <v>193</v>
      </c>
      <c r="G595" t="s">
        <v>193</v>
      </c>
      <c r="H595" t="s">
        <v>193</v>
      </c>
      <c r="I595" t="s">
        <v>193</v>
      </c>
      <c r="J595" t="s">
        <v>193</v>
      </c>
      <c r="K595" t="s">
        <v>193</v>
      </c>
      <c r="L595" t="s">
        <v>193</v>
      </c>
      <c r="M595" t="s">
        <v>193</v>
      </c>
      <c r="N595" t="s">
        <v>193</v>
      </c>
      <c r="O595" t="s">
        <v>193</v>
      </c>
      <c r="P595" t="s">
        <v>193</v>
      </c>
    </row>
    <row r="596" spans="1:16" ht="12.75">
      <c r="A596" s="62" t="str">
        <f t="shared" si="9"/>
        <v>Iraq_Poverty headcount ratio at $1 a day (PPP) (% of population)</v>
      </c>
      <c r="B596" t="s">
        <v>481</v>
      </c>
      <c r="C596" t="s">
        <v>98</v>
      </c>
      <c r="D596" t="s">
        <v>412</v>
      </c>
      <c r="E596" t="s">
        <v>413</v>
      </c>
      <c r="F596" t="s">
        <v>193</v>
      </c>
      <c r="G596" t="s">
        <v>193</v>
      </c>
      <c r="H596" t="s">
        <v>193</v>
      </c>
      <c r="I596" t="s">
        <v>193</v>
      </c>
      <c r="J596" t="s">
        <v>193</v>
      </c>
      <c r="K596" t="s">
        <v>193</v>
      </c>
      <c r="L596" t="s">
        <v>193</v>
      </c>
      <c r="M596" t="s">
        <v>193</v>
      </c>
      <c r="N596" t="s">
        <v>193</v>
      </c>
      <c r="O596" t="s">
        <v>193</v>
      </c>
      <c r="P596" t="s">
        <v>193</v>
      </c>
    </row>
    <row r="597" spans="1:16" ht="12.75">
      <c r="A597" s="62" t="str">
        <f t="shared" si="9"/>
        <v>Iraq_Poverty gap at $1 a day (PPP) (%)</v>
      </c>
      <c r="B597" t="s">
        <v>481</v>
      </c>
      <c r="C597" t="s">
        <v>98</v>
      </c>
      <c r="D597" t="s">
        <v>414</v>
      </c>
      <c r="E597" t="s">
        <v>415</v>
      </c>
      <c r="F597" t="s">
        <v>193</v>
      </c>
      <c r="G597" t="s">
        <v>193</v>
      </c>
      <c r="H597" t="s">
        <v>193</v>
      </c>
      <c r="I597" t="s">
        <v>193</v>
      </c>
      <c r="J597" t="s">
        <v>193</v>
      </c>
      <c r="K597" t="s">
        <v>193</v>
      </c>
      <c r="L597" t="s">
        <v>193</v>
      </c>
      <c r="M597" t="s">
        <v>193</v>
      </c>
      <c r="N597" t="s">
        <v>193</v>
      </c>
      <c r="O597" t="s">
        <v>193</v>
      </c>
      <c r="P597" t="s">
        <v>193</v>
      </c>
    </row>
    <row r="598" spans="1:16" ht="12.75">
      <c r="A598" s="62" t="str">
        <f t="shared" si="9"/>
        <v>Iraq_Poverty gap at $2 a day (PPP) (%)</v>
      </c>
      <c r="B598" t="s">
        <v>481</v>
      </c>
      <c r="C598" t="s">
        <v>98</v>
      </c>
      <c r="D598" t="s">
        <v>416</v>
      </c>
      <c r="E598" t="s">
        <v>417</v>
      </c>
      <c r="F598" t="s">
        <v>193</v>
      </c>
      <c r="G598" t="s">
        <v>193</v>
      </c>
      <c r="H598" t="s">
        <v>193</v>
      </c>
      <c r="I598" t="s">
        <v>193</v>
      </c>
      <c r="J598" t="s">
        <v>193</v>
      </c>
      <c r="K598" t="s">
        <v>193</v>
      </c>
      <c r="L598" t="s">
        <v>193</v>
      </c>
      <c r="M598" t="s">
        <v>193</v>
      </c>
      <c r="N598" t="s">
        <v>193</v>
      </c>
      <c r="O598" t="s">
        <v>193</v>
      </c>
      <c r="P598" t="s">
        <v>193</v>
      </c>
    </row>
    <row r="599" spans="1:16" ht="12.75">
      <c r="A599" s="62" t="str">
        <f t="shared" si="9"/>
        <v>Iraq_Population, total</v>
      </c>
      <c r="B599" t="s">
        <v>481</v>
      </c>
      <c r="C599" t="s">
        <v>98</v>
      </c>
      <c r="D599" t="s">
        <v>418</v>
      </c>
      <c r="E599" t="s">
        <v>419</v>
      </c>
      <c r="F599">
        <v>22316962</v>
      </c>
      <c r="G599">
        <v>23013085</v>
      </c>
      <c r="H599">
        <v>23709200</v>
      </c>
      <c r="I599">
        <v>24391933</v>
      </c>
      <c r="J599" t="s">
        <v>193</v>
      </c>
      <c r="K599" t="s">
        <v>193</v>
      </c>
      <c r="L599" t="s">
        <v>193</v>
      </c>
      <c r="M599" t="s">
        <v>193</v>
      </c>
      <c r="N599" t="s">
        <v>193</v>
      </c>
      <c r="O599" t="s">
        <v>193</v>
      </c>
      <c r="P599" t="s">
        <v>193</v>
      </c>
    </row>
    <row r="600" spans="1:16" ht="12.75">
      <c r="A600" s="62" t="str">
        <f t="shared" si="9"/>
        <v>Iraq_Public spending on education, total (% of GDP)</v>
      </c>
      <c r="B600" t="s">
        <v>481</v>
      </c>
      <c r="C600" t="s">
        <v>98</v>
      </c>
      <c r="D600" t="s">
        <v>420</v>
      </c>
      <c r="E600" t="s">
        <v>421</v>
      </c>
      <c r="F600" t="s">
        <v>193</v>
      </c>
      <c r="G600" t="s">
        <v>193</v>
      </c>
      <c r="H600" t="s">
        <v>193</v>
      </c>
      <c r="I600" t="s">
        <v>193</v>
      </c>
      <c r="J600" t="s">
        <v>193</v>
      </c>
      <c r="K600" t="s">
        <v>193</v>
      </c>
      <c r="L600" t="s">
        <v>193</v>
      </c>
      <c r="M600" t="s">
        <v>193</v>
      </c>
      <c r="N600" t="s">
        <v>193</v>
      </c>
      <c r="O600" t="s">
        <v>193</v>
      </c>
      <c r="P600" t="s">
        <v>193</v>
      </c>
    </row>
    <row r="601" spans="1:16" ht="12.75">
      <c r="A601" s="62" t="str">
        <f t="shared" si="9"/>
        <v>Iraq_Public spending on education, total (% of government expenditure)</v>
      </c>
      <c r="B601" t="s">
        <v>481</v>
      </c>
      <c r="C601" t="s">
        <v>98</v>
      </c>
      <c r="D601" t="s">
        <v>422</v>
      </c>
      <c r="E601" t="s">
        <v>423</v>
      </c>
      <c r="F601" t="s">
        <v>193</v>
      </c>
      <c r="G601" t="s">
        <v>193</v>
      </c>
      <c r="H601" t="s">
        <v>193</v>
      </c>
      <c r="I601" t="s">
        <v>193</v>
      </c>
      <c r="J601" t="s">
        <v>193</v>
      </c>
      <c r="K601" t="s">
        <v>193</v>
      </c>
      <c r="L601" t="s">
        <v>193</v>
      </c>
      <c r="M601" t="s">
        <v>193</v>
      </c>
      <c r="N601" t="s">
        <v>193</v>
      </c>
      <c r="O601" t="s">
        <v>193</v>
      </c>
      <c r="P601" t="s">
        <v>193</v>
      </c>
    </row>
    <row r="602" spans="1:16" ht="12.75">
      <c r="A602" s="62" t="str">
        <f t="shared" si="9"/>
        <v>Iraq_Health expenditure, public (% of total health expenditure)</v>
      </c>
      <c r="B602" t="s">
        <v>481</v>
      </c>
      <c r="C602" t="s">
        <v>98</v>
      </c>
      <c r="D602" t="s">
        <v>424</v>
      </c>
      <c r="E602" t="s">
        <v>425</v>
      </c>
      <c r="F602" t="s">
        <v>193</v>
      </c>
      <c r="G602" t="s">
        <v>193</v>
      </c>
      <c r="H602" t="s">
        <v>193</v>
      </c>
      <c r="I602" t="s">
        <v>193</v>
      </c>
      <c r="J602">
        <v>34.1</v>
      </c>
      <c r="K602">
        <v>30.2</v>
      </c>
      <c r="L602">
        <v>16.8</v>
      </c>
      <c r="M602">
        <v>50.6</v>
      </c>
      <c r="N602">
        <v>78.5</v>
      </c>
      <c r="O602" t="s">
        <v>193</v>
      </c>
      <c r="P602" t="s">
        <v>193</v>
      </c>
    </row>
    <row r="603" spans="1:16" ht="12.75">
      <c r="A603" s="62" t="str">
        <f t="shared" si="9"/>
        <v>Iraq_Health expenditure, public (% of GDP)</v>
      </c>
      <c r="B603" t="s">
        <v>481</v>
      </c>
      <c r="C603" t="s">
        <v>98</v>
      </c>
      <c r="D603" t="s">
        <v>426</v>
      </c>
      <c r="E603" t="s">
        <v>427</v>
      </c>
      <c r="F603" t="s">
        <v>193</v>
      </c>
      <c r="G603" t="s">
        <v>193</v>
      </c>
      <c r="H603" t="s">
        <v>193</v>
      </c>
      <c r="I603" t="s">
        <v>193</v>
      </c>
      <c r="J603">
        <v>0.3751</v>
      </c>
      <c r="K603">
        <v>0.3624</v>
      </c>
      <c r="L603">
        <v>0.2184</v>
      </c>
      <c r="M603">
        <v>1.6698</v>
      </c>
      <c r="N603">
        <v>4.1605</v>
      </c>
      <c r="O603" t="s">
        <v>193</v>
      </c>
      <c r="P603" t="s">
        <v>193</v>
      </c>
    </row>
    <row r="604" spans="1:16" ht="12.75">
      <c r="A604" s="62" t="str">
        <f t="shared" si="9"/>
        <v>Iraq_Health expenditure, total (% of GDP)</v>
      </c>
      <c r="B604" t="s">
        <v>481</v>
      </c>
      <c r="C604" t="s">
        <v>98</v>
      </c>
      <c r="D604" t="s">
        <v>428</v>
      </c>
      <c r="E604" t="s">
        <v>429</v>
      </c>
      <c r="F604" t="s">
        <v>193</v>
      </c>
      <c r="G604" t="s">
        <v>193</v>
      </c>
      <c r="H604" t="s">
        <v>193</v>
      </c>
      <c r="I604" t="s">
        <v>193</v>
      </c>
      <c r="J604">
        <v>1.1</v>
      </c>
      <c r="K604">
        <v>1.2</v>
      </c>
      <c r="L604">
        <v>1.3</v>
      </c>
      <c r="M604">
        <v>3.3</v>
      </c>
      <c r="N604">
        <v>5.3</v>
      </c>
      <c r="O604" t="s">
        <v>193</v>
      </c>
      <c r="P604" t="s">
        <v>193</v>
      </c>
    </row>
    <row r="605" spans="1:16" ht="12.75">
      <c r="A605" s="62" t="str">
        <f t="shared" si="9"/>
        <v>Iraq_GDP (current LCU)</v>
      </c>
      <c r="B605" t="s">
        <v>481</v>
      </c>
      <c r="C605" t="s">
        <v>98</v>
      </c>
      <c r="D605" t="s">
        <v>430</v>
      </c>
      <c r="E605" t="s">
        <v>431</v>
      </c>
      <c r="F605" t="s">
        <v>193</v>
      </c>
      <c r="G605">
        <v>14877493035008</v>
      </c>
      <c r="H605">
        <v>16959343165440</v>
      </c>
      <c r="I605">
        <v>35382339043328</v>
      </c>
      <c r="J605">
        <v>49904214867968</v>
      </c>
      <c r="K605">
        <v>36527727968256</v>
      </c>
      <c r="L605">
        <v>37123491102720</v>
      </c>
      <c r="M605">
        <v>24663080042496</v>
      </c>
      <c r="N605" t="s">
        <v>193</v>
      </c>
      <c r="O605" t="s">
        <v>193</v>
      </c>
      <c r="P605" t="s">
        <v>193</v>
      </c>
    </row>
    <row r="606" spans="1:16" ht="12.75">
      <c r="A606" s="62" t="str">
        <f t="shared" si="9"/>
        <v>Iraq_GDP (current US$)</v>
      </c>
      <c r="B606" t="s">
        <v>481</v>
      </c>
      <c r="C606" t="s">
        <v>98</v>
      </c>
      <c r="D606" t="s">
        <v>432</v>
      </c>
      <c r="E606" t="s">
        <v>433</v>
      </c>
      <c r="F606" t="s">
        <v>193</v>
      </c>
      <c r="G606">
        <v>10113863680</v>
      </c>
      <c r="H606">
        <v>10468729856</v>
      </c>
      <c r="I606">
        <v>17942362112</v>
      </c>
      <c r="J606">
        <v>25857105920</v>
      </c>
      <c r="K606">
        <v>18936094720</v>
      </c>
      <c r="L606">
        <v>18969591808</v>
      </c>
      <c r="M606">
        <v>12602492928</v>
      </c>
      <c r="N606" t="s">
        <v>193</v>
      </c>
      <c r="O606" t="s">
        <v>193</v>
      </c>
      <c r="P606" t="s">
        <v>193</v>
      </c>
    </row>
    <row r="607" spans="1:16" ht="12.75">
      <c r="A607" s="62" t="str">
        <f t="shared" si="9"/>
        <v>Iraq_GDP per capita, PPP (current international $)</v>
      </c>
      <c r="B607" t="s">
        <v>481</v>
      </c>
      <c r="C607" t="s">
        <v>98</v>
      </c>
      <c r="D607" t="s">
        <v>434</v>
      </c>
      <c r="E607" t="s">
        <v>435</v>
      </c>
      <c r="F607" t="s">
        <v>193</v>
      </c>
      <c r="G607" t="s">
        <v>193</v>
      </c>
      <c r="H607" t="s">
        <v>193</v>
      </c>
      <c r="I607" t="s">
        <v>193</v>
      </c>
      <c r="J607" t="s">
        <v>193</v>
      </c>
      <c r="K607" t="s">
        <v>193</v>
      </c>
      <c r="L607" t="s">
        <v>193</v>
      </c>
      <c r="M607" t="s">
        <v>193</v>
      </c>
      <c r="N607" t="s">
        <v>193</v>
      </c>
      <c r="O607" t="s">
        <v>193</v>
      </c>
      <c r="P607" t="s">
        <v>193</v>
      </c>
    </row>
    <row r="608" spans="1:16" ht="12.75">
      <c r="A608" s="62" t="str">
        <f t="shared" si="9"/>
        <v>Iraq_GDP per capita, PPP (constant 2000 international $)</v>
      </c>
      <c r="B608" t="s">
        <v>481</v>
      </c>
      <c r="C608" t="s">
        <v>98</v>
      </c>
      <c r="D608" t="s">
        <v>436</v>
      </c>
      <c r="E608" t="s">
        <v>437</v>
      </c>
      <c r="F608" t="s">
        <v>193</v>
      </c>
      <c r="G608" t="s">
        <v>193</v>
      </c>
      <c r="H608" t="s">
        <v>193</v>
      </c>
      <c r="I608" t="s">
        <v>193</v>
      </c>
      <c r="J608" t="s">
        <v>193</v>
      </c>
      <c r="K608" t="s">
        <v>193</v>
      </c>
      <c r="L608" t="s">
        <v>193</v>
      </c>
      <c r="M608" t="s">
        <v>193</v>
      </c>
      <c r="N608" t="s">
        <v>193</v>
      </c>
      <c r="O608" t="s">
        <v>193</v>
      </c>
      <c r="P608" t="s">
        <v>193</v>
      </c>
    </row>
    <row r="609" spans="1:16" ht="12.75">
      <c r="A609" s="62" t="str">
        <f t="shared" si="9"/>
        <v>Iraq_GINI index</v>
      </c>
      <c r="B609" t="s">
        <v>481</v>
      </c>
      <c r="C609" t="s">
        <v>98</v>
      </c>
      <c r="D609" t="s">
        <v>438</v>
      </c>
      <c r="E609" t="s">
        <v>439</v>
      </c>
      <c r="F609" t="s">
        <v>193</v>
      </c>
      <c r="G609" t="s">
        <v>193</v>
      </c>
      <c r="H609" t="s">
        <v>193</v>
      </c>
      <c r="I609" t="s">
        <v>193</v>
      </c>
      <c r="J609" t="s">
        <v>193</v>
      </c>
      <c r="K609" t="s">
        <v>193</v>
      </c>
      <c r="L609" t="s">
        <v>193</v>
      </c>
      <c r="M609" t="s">
        <v>193</v>
      </c>
      <c r="N609" t="s">
        <v>193</v>
      </c>
      <c r="O609" t="s">
        <v>193</v>
      </c>
      <c r="P609" t="s">
        <v>193</v>
      </c>
    </row>
    <row r="610" spans="1:16" ht="12.75">
      <c r="A610" s="62" t="str">
        <f t="shared" si="9"/>
        <v>Jamaica_Poverty headcount ratio at national poverty line (% of population)</v>
      </c>
      <c r="B610" t="s">
        <v>482</v>
      </c>
      <c r="C610" t="s">
        <v>250</v>
      </c>
      <c r="D610" t="s">
        <v>408</v>
      </c>
      <c r="E610" t="s">
        <v>409</v>
      </c>
      <c r="F610" t="s">
        <v>193</v>
      </c>
      <c r="G610" t="s">
        <v>193</v>
      </c>
      <c r="H610" t="s">
        <v>193</v>
      </c>
      <c r="I610" t="s">
        <v>193</v>
      </c>
      <c r="J610">
        <v>18.7</v>
      </c>
      <c r="K610" t="s">
        <v>193</v>
      </c>
      <c r="L610" t="s">
        <v>193</v>
      </c>
      <c r="M610" t="s">
        <v>193</v>
      </c>
      <c r="N610" t="s">
        <v>193</v>
      </c>
      <c r="O610" t="s">
        <v>193</v>
      </c>
      <c r="P610" t="s">
        <v>193</v>
      </c>
    </row>
    <row r="611" spans="1:16" ht="12.75">
      <c r="A611" s="62" t="str">
        <f aca="true" t="shared" si="10" ref="A611:A674">C611&amp;"_"&amp;E611</f>
        <v>Jamaica_Poverty headcount ratio at $2 a day (PPP) (% of population)</v>
      </c>
      <c r="B611" t="s">
        <v>482</v>
      </c>
      <c r="C611" t="s">
        <v>250</v>
      </c>
      <c r="D611" t="s">
        <v>410</v>
      </c>
      <c r="E611" t="s">
        <v>411</v>
      </c>
      <c r="F611">
        <v>19.63</v>
      </c>
      <c r="G611" t="s">
        <v>193</v>
      </c>
      <c r="H611" t="s">
        <v>193</v>
      </c>
      <c r="I611">
        <v>13.96</v>
      </c>
      <c r="J611">
        <v>16.87</v>
      </c>
      <c r="K611" t="s">
        <v>193</v>
      </c>
      <c r="L611" t="s">
        <v>193</v>
      </c>
      <c r="M611" t="s">
        <v>193</v>
      </c>
      <c r="N611">
        <v>14.37</v>
      </c>
      <c r="O611" t="s">
        <v>193</v>
      </c>
      <c r="P611" t="s">
        <v>193</v>
      </c>
    </row>
    <row r="612" spans="1:16" ht="12.75">
      <c r="A612" s="62" t="str">
        <f t="shared" si="10"/>
        <v>Jamaica_Poverty headcount ratio at $1 a day (PPP) (% of population)</v>
      </c>
      <c r="B612" t="s">
        <v>482</v>
      </c>
      <c r="C612" t="s">
        <v>250</v>
      </c>
      <c r="D612" t="s">
        <v>412</v>
      </c>
      <c r="E612" t="s">
        <v>413</v>
      </c>
      <c r="F612">
        <v>2.3</v>
      </c>
      <c r="G612" t="s">
        <v>193</v>
      </c>
      <c r="H612" t="s">
        <v>193</v>
      </c>
      <c r="I612">
        <v>2</v>
      </c>
      <c r="J612">
        <v>2</v>
      </c>
      <c r="K612" t="s">
        <v>193</v>
      </c>
      <c r="L612" t="s">
        <v>193</v>
      </c>
      <c r="M612" t="s">
        <v>193</v>
      </c>
      <c r="N612">
        <v>2</v>
      </c>
      <c r="O612" t="s">
        <v>193</v>
      </c>
      <c r="P612" t="s">
        <v>193</v>
      </c>
    </row>
    <row r="613" spans="1:16" ht="12.75">
      <c r="A613" s="62" t="str">
        <f t="shared" si="10"/>
        <v>Jamaica_Poverty gap at $1 a day (PPP) (%)</v>
      </c>
      <c r="B613" t="s">
        <v>482</v>
      </c>
      <c r="C613" t="s">
        <v>250</v>
      </c>
      <c r="D613" t="s">
        <v>414</v>
      </c>
      <c r="E613" t="s">
        <v>415</v>
      </c>
      <c r="F613">
        <v>0.61</v>
      </c>
      <c r="G613" t="s">
        <v>193</v>
      </c>
      <c r="H613" t="s">
        <v>193</v>
      </c>
      <c r="I613">
        <v>0.5</v>
      </c>
      <c r="J613">
        <v>0.5</v>
      </c>
      <c r="K613" t="s">
        <v>193</v>
      </c>
      <c r="L613" t="s">
        <v>193</v>
      </c>
      <c r="M613" t="s">
        <v>193</v>
      </c>
      <c r="N613">
        <v>0.5</v>
      </c>
      <c r="O613" t="s">
        <v>193</v>
      </c>
      <c r="P613" t="s">
        <v>193</v>
      </c>
    </row>
    <row r="614" spans="1:16" ht="12.75">
      <c r="A614" s="62" t="str">
        <f t="shared" si="10"/>
        <v>Jamaica_Poverty gap at $2 a day (PPP) (%)</v>
      </c>
      <c r="B614" t="s">
        <v>482</v>
      </c>
      <c r="C614" t="s">
        <v>250</v>
      </c>
      <c r="D614" t="s">
        <v>416</v>
      </c>
      <c r="E614" t="s">
        <v>417</v>
      </c>
      <c r="F614">
        <v>5.16</v>
      </c>
      <c r="G614" t="s">
        <v>193</v>
      </c>
      <c r="H614" t="s">
        <v>193</v>
      </c>
      <c r="I614">
        <v>3.7</v>
      </c>
      <c r="J614">
        <v>3.58</v>
      </c>
      <c r="K614" t="s">
        <v>193</v>
      </c>
      <c r="L614" t="s">
        <v>193</v>
      </c>
      <c r="M614" t="s">
        <v>193</v>
      </c>
      <c r="N614">
        <v>3.325</v>
      </c>
      <c r="O614" t="s">
        <v>193</v>
      </c>
      <c r="P614" t="s">
        <v>193</v>
      </c>
    </row>
    <row r="615" spans="1:16" ht="12.75">
      <c r="A615" s="62" t="str">
        <f t="shared" si="10"/>
        <v>Jamaica_Population, total</v>
      </c>
      <c r="B615" t="s">
        <v>482</v>
      </c>
      <c r="C615" t="s">
        <v>250</v>
      </c>
      <c r="D615" t="s">
        <v>418</v>
      </c>
      <c r="E615" t="s">
        <v>419</v>
      </c>
      <c r="F615">
        <v>2509923.42512675</v>
      </c>
      <c r="G615">
        <v>2534068.67507572</v>
      </c>
      <c r="H615">
        <v>2556780.0511581</v>
      </c>
      <c r="I615">
        <v>2574289.36407701</v>
      </c>
      <c r="J615">
        <v>2589388.55137656</v>
      </c>
      <c r="K615">
        <v>2604788.61906298</v>
      </c>
      <c r="L615">
        <v>2617495.22444646</v>
      </c>
      <c r="M615">
        <v>2630388.13675853</v>
      </c>
      <c r="N615">
        <v>2642000</v>
      </c>
      <c r="O615">
        <v>2654500</v>
      </c>
      <c r="P615">
        <v>2663735.51180906</v>
      </c>
    </row>
    <row r="616" spans="1:16" ht="12.75">
      <c r="A616" s="62" t="str">
        <f t="shared" si="10"/>
        <v>Jamaica_Public spending on education, total (% of GDP)</v>
      </c>
      <c r="B616" t="s">
        <v>482</v>
      </c>
      <c r="C616" t="s">
        <v>250</v>
      </c>
      <c r="D616" t="s">
        <v>420</v>
      </c>
      <c r="E616" t="s">
        <v>421</v>
      </c>
      <c r="F616" t="s">
        <v>193</v>
      </c>
      <c r="G616" t="s">
        <v>193</v>
      </c>
      <c r="H616" t="s">
        <v>193</v>
      </c>
      <c r="I616" t="s">
        <v>193</v>
      </c>
      <c r="J616">
        <v>5.6578169447529</v>
      </c>
      <c r="K616">
        <v>6.0767399078705</v>
      </c>
      <c r="L616">
        <v>6.01356002395936</v>
      </c>
      <c r="M616">
        <v>4.81205731377987</v>
      </c>
      <c r="N616">
        <v>4.45242024453214</v>
      </c>
      <c r="O616">
        <v>5.28964376120452</v>
      </c>
      <c r="P616" t="s">
        <v>193</v>
      </c>
    </row>
    <row r="617" spans="1:16" ht="12.75">
      <c r="A617" s="62" t="str">
        <f t="shared" si="10"/>
        <v>Jamaica_Public spending on education, total (% of government expenditure)</v>
      </c>
      <c r="B617" t="s">
        <v>482</v>
      </c>
      <c r="C617" t="s">
        <v>250</v>
      </c>
      <c r="D617" t="s">
        <v>422</v>
      </c>
      <c r="E617" t="s">
        <v>423</v>
      </c>
      <c r="F617" t="s">
        <v>193</v>
      </c>
      <c r="G617" t="s">
        <v>193</v>
      </c>
      <c r="H617" t="s">
        <v>193</v>
      </c>
      <c r="I617" t="s">
        <v>193</v>
      </c>
      <c r="J617">
        <v>10.7983612914893</v>
      </c>
      <c r="K617">
        <v>11.052442358328</v>
      </c>
      <c r="L617">
        <v>12.2592007732853</v>
      </c>
      <c r="M617">
        <v>9.53555249339544</v>
      </c>
      <c r="N617" t="s">
        <v>193</v>
      </c>
      <c r="O617">
        <v>8.76590853079134</v>
      </c>
      <c r="P617" t="s">
        <v>193</v>
      </c>
    </row>
    <row r="618" spans="1:16" ht="12.75">
      <c r="A618" s="62" t="str">
        <f t="shared" si="10"/>
        <v>Jamaica_Health expenditure, public (% of total health expenditure)</v>
      </c>
      <c r="B618" t="s">
        <v>482</v>
      </c>
      <c r="C618" t="s">
        <v>250</v>
      </c>
      <c r="D618" t="s">
        <v>424</v>
      </c>
      <c r="E618" t="s">
        <v>425</v>
      </c>
      <c r="F618" t="s">
        <v>193</v>
      </c>
      <c r="G618" t="s">
        <v>193</v>
      </c>
      <c r="H618" t="s">
        <v>193</v>
      </c>
      <c r="I618" t="s">
        <v>193</v>
      </c>
      <c r="J618">
        <v>52.6</v>
      </c>
      <c r="K618">
        <v>43.4</v>
      </c>
      <c r="L618">
        <v>57.4</v>
      </c>
      <c r="M618">
        <v>46.8</v>
      </c>
      <c r="N618">
        <v>54.3</v>
      </c>
      <c r="O618" t="s">
        <v>193</v>
      </c>
      <c r="P618" t="s">
        <v>193</v>
      </c>
    </row>
    <row r="619" spans="1:16" ht="12.75">
      <c r="A619" s="62" t="str">
        <f t="shared" si="10"/>
        <v>Jamaica_Health expenditure, public (% of GDP)</v>
      </c>
      <c r="B619" t="s">
        <v>482</v>
      </c>
      <c r="C619" t="s">
        <v>250</v>
      </c>
      <c r="D619" t="s">
        <v>426</v>
      </c>
      <c r="E619" t="s">
        <v>427</v>
      </c>
      <c r="F619" t="s">
        <v>193</v>
      </c>
      <c r="G619" t="s">
        <v>193</v>
      </c>
      <c r="H619" t="s">
        <v>193</v>
      </c>
      <c r="I619" t="s">
        <v>193</v>
      </c>
      <c r="J619">
        <v>3.2612</v>
      </c>
      <c r="K619">
        <v>2.4738</v>
      </c>
      <c r="L619">
        <v>3.2144</v>
      </c>
      <c r="M619">
        <v>2.2932</v>
      </c>
      <c r="N619">
        <v>2.8236</v>
      </c>
      <c r="O619" t="s">
        <v>193</v>
      </c>
      <c r="P619" t="s">
        <v>193</v>
      </c>
    </row>
    <row r="620" spans="1:16" ht="12.75">
      <c r="A620" s="62" t="str">
        <f t="shared" si="10"/>
        <v>Jamaica_Health expenditure, total (% of GDP)</v>
      </c>
      <c r="B620" t="s">
        <v>482</v>
      </c>
      <c r="C620" t="s">
        <v>250</v>
      </c>
      <c r="D620" t="s">
        <v>428</v>
      </c>
      <c r="E620" t="s">
        <v>429</v>
      </c>
      <c r="F620" t="s">
        <v>193</v>
      </c>
      <c r="G620" t="s">
        <v>193</v>
      </c>
      <c r="H620" t="s">
        <v>193</v>
      </c>
      <c r="I620" t="s">
        <v>193</v>
      </c>
      <c r="J620">
        <v>6.2</v>
      </c>
      <c r="K620">
        <v>5.7</v>
      </c>
      <c r="L620">
        <v>5.6</v>
      </c>
      <c r="M620">
        <v>4.9</v>
      </c>
      <c r="N620">
        <v>5.2</v>
      </c>
      <c r="O620" t="s">
        <v>193</v>
      </c>
      <c r="P620" t="s">
        <v>193</v>
      </c>
    </row>
    <row r="621" spans="1:16" ht="12.75">
      <c r="A621" s="62" t="str">
        <f t="shared" si="10"/>
        <v>Jamaica_GDP (current LCU)</v>
      </c>
      <c r="B621" t="s">
        <v>482</v>
      </c>
      <c r="C621" t="s">
        <v>250</v>
      </c>
      <c r="D621" t="s">
        <v>430</v>
      </c>
      <c r="E621" t="s">
        <v>431</v>
      </c>
      <c r="F621">
        <v>242290606080</v>
      </c>
      <c r="G621">
        <v>264561033216</v>
      </c>
      <c r="H621">
        <v>286092460032</v>
      </c>
      <c r="I621">
        <v>305625989120</v>
      </c>
      <c r="J621">
        <v>342772219904</v>
      </c>
      <c r="K621">
        <v>378030260224</v>
      </c>
      <c r="L621">
        <v>416262914048</v>
      </c>
      <c r="M621">
        <v>478486560768</v>
      </c>
      <c r="N621">
        <v>543810289664</v>
      </c>
      <c r="O621">
        <v>607000002560</v>
      </c>
      <c r="P621">
        <v>692499972096</v>
      </c>
    </row>
    <row r="622" spans="1:16" ht="12.75">
      <c r="A622" s="62" t="str">
        <f t="shared" si="10"/>
        <v>Jamaica_GDP (current US$)</v>
      </c>
      <c r="B622" t="s">
        <v>482</v>
      </c>
      <c r="C622" t="s">
        <v>250</v>
      </c>
      <c r="D622" t="s">
        <v>432</v>
      </c>
      <c r="E622" t="s">
        <v>433</v>
      </c>
      <c r="F622">
        <v>6527302656</v>
      </c>
      <c r="G622">
        <v>7472532480</v>
      </c>
      <c r="H622">
        <v>7827427328</v>
      </c>
      <c r="I622">
        <v>7827732992</v>
      </c>
      <c r="J622">
        <v>8027264512</v>
      </c>
      <c r="K622">
        <v>8218764288</v>
      </c>
      <c r="L622">
        <v>8597630976</v>
      </c>
      <c r="M622">
        <v>8286787584</v>
      </c>
      <c r="N622">
        <v>8886195200</v>
      </c>
      <c r="O622">
        <v>9746197504</v>
      </c>
      <c r="P622">
        <v>10533296128</v>
      </c>
    </row>
    <row r="623" spans="1:16" ht="12.75">
      <c r="A623" s="62" t="str">
        <f t="shared" si="10"/>
        <v>Jamaica_GDP per capita, PPP (current international $)</v>
      </c>
      <c r="B623" t="s">
        <v>482</v>
      </c>
      <c r="C623" t="s">
        <v>250</v>
      </c>
      <c r="D623" t="s">
        <v>434</v>
      </c>
      <c r="E623" t="s">
        <v>435</v>
      </c>
      <c r="F623">
        <v>3482.91269286388</v>
      </c>
      <c r="G623">
        <v>3467.34929541406</v>
      </c>
      <c r="H623">
        <v>3468.49234339682</v>
      </c>
      <c r="I623">
        <v>3519.67732703055</v>
      </c>
      <c r="J623">
        <v>3597.29166372681</v>
      </c>
      <c r="K623">
        <v>3714.06221691437</v>
      </c>
      <c r="L623">
        <v>3820.12401758317</v>
      </c>
      <c r="M623">
        <v>3982.90007608945</v>
      </c>
      <c r="N623">
        <v>4112.52506677333</v>
      </c>
      <c r="O623">
        <v>4292.51924791356</v>
      </c>
      <c r="P623">
        <v>4520.66874755724</v>
      </c>
    </row>
    <row r="624" spans="1:16" ht="12.75">
      <c r="A624" s="62" t="str">
        <f t="shared" si="10"/>
        <v>Jamaica_GDP per capita, PPP (constant 2000 international $)</v>
      </c>
      <c r="B624" t="s">
        <v>482</v>
      </c>
      <c r="C624" t="s">
        <v>250</v>
      </c>
      <c r="D624" t="s">
        <v>436</v>
      </c>
      <c r="E624" t="s">
        <v>437</v>
      </c>
      <c r="F624">
        <v>3711.34376895041</v>
      </c>
      <c r="G624">
        <v>3634.05802811618</v>
      </c>
      <c r="H624">
        <v>3595.31075085565</v>
      </c>
      <c r="I624">
        <v>3596.40120084757</v>
      </c>
      <c r="J624">
        <v>3597.29166372681</v>
      </c>
      <c r="K624">
        <v>3626.70193368269</v>
      </c>
      <c r="L624">
        <v>3666.11012100274</v>
      </c>
      <c r="M624">
        <v>3746.08208773535</v>
      </c>
      <c r="N624">
        <v>3769.09886405758</v>
      </c>
      <c r="O624">
        <v>3818.86790665765</v>
      </c>
      <c r="P624">
        <v>3907.42764914153</v>
      </c>
    </row>
    <row r="625" spans="1:16" ht="12.75">
      <c r="A625" s="62" t="str">
        <f t="shared" si="10"/>
        <v>Jamaica_GINI index</v>
      </c>
      <c r="B625" t="s">
        <v>482</v>
      </c>
      <c r="C625" t="s">
        <v>250</v>
      </c>
      <c r="D625" t="s">
        <v>438</v>
      </c>
      <c r="E625" t="s">
        <v>439</v>
      </c>
      <c r="F625">
        <v>40.47</v>
      </c>
      <c r="G625" t="s">
        <v>193</v>
      </c>
      <c r="H625" t="s">
        <v>193</v>
      </c>
      <c r="I625">
        <v>44.22</v>
      </c>
      <c r="J625">
        <v>43.06</v>
      </c>
      <c r="K625" t="s">
        <v>193</v>
      </c>
      <c r="L625" t="s">
        <v>193</v>
      </c>
      <c r="M625" t="s">
        <v>193</v>
      </c>
      <c r="N625">
        <v>45.508</v>
      </c>
      <c r="O625" t="s">
        <v>193</v>
      </c>
      <c r="P625" t="s">
        <v>193</v>
      </c>
    </row>
    <row r="626" spans="1:16" ht="12.75">
      <c r="A626" s="62" t="str">
        <f t="shared" si="10"/>
        <v>Jordan_Poverty headcount ratio at national poverty line (% of population)</v>
      </c>
      <c r="B626" t="s">
        <v>483</v>
      </c>
      <c r="C626" t="s">
        <v>199</v>
      </c>
      <c r="D626" t="s">
        <v>408</v>
      </c>
      <c r="E626" t="s">
        <v>409</v>
      </c>
      <c r="F626" t="s">
        <v>193</v>
      </c>
      <c r="G626">
        <v>21.3</v>
      </c>
      <c r="H626" t="s">
        <v>193</v>
      </c>
      <c r="I626" t="s">
        <v>193</v>
      </c>
      <c r="J626" t="s">
        <v>193</v>
      </c>
      <c r="K626" t="s">
        <v>193</v>
      </c>
      <c r="L626">
        <v>14.2</v>
      </c>
      <c r="M626" t="s">
        <v>193</v>
      </c>
      <c r="N626" t="s">
        <v>193</v>
      </c>
      <c r="O626" t="s">
        <v>193</v>
      </c>
      <c r="P626" t="s">
        <v>193</v>
      </c>
    </row>
    <row r="627" spans="1:16" ht="12.75">
      <c r="A627" s="62" t="str">
        <f t="shared" si="10"/>
        <v>Jordan_Poverty headcount ratio at $2 a day (PPP) (% of population)</v>
      </c>
      <c r="B627" t="s">
        <v>483</v>
      </c>
      <c r="C627" t="s">
        <v>199</v>
      </c>
      <c r="D627" t="s">
        <v>410</v>
      </c>
      <c r="E627" t="s">
        <v>411</v>
      </c>
      <c r="F627" t="s">
        <v>193</v>
      </c>
      <c r="G627">
        <v>7.38</v>
      </c>
      <c r="H627" t="s">
        <v>193</v>
      </c>
      <c r="I627" t="s">
        <v>193</v>
      </c>
      <c r="J627" t="s">
        <v>193</v>
      </c>
      <c r="K627" t="s">
        <v>193</v>
      </c>
      <c r="L627" t="s">
        <v>193</v>
      </c>
      <c r="M627">
        <v>6.95</v>
      </c>
      <c r="N627" t="s">
        <v>193</v>
      </c>
      <c r="O627" t="s">
        <v>193</v>
      </c>
      <c r="P627" t="s">
        <v>193</v>
      </c>
    </row>
    <row r="628" spans="1:16" ht="12.75">
      <c r="A628" s="62" t="str">
        <f t="shared" si="10"/>
        <v>Jordan_Poverty headcount ratio at $1 a day (PPP) (% of population)</v>
      </c>
      <c r="B628" t="s">
        <v>483</v>
      </c>
      <c r="C628" t="s">
        <v>199</v>
      </c>
      <c r="D628" t="s">
        <v>412</v>
      </c>
      <c r="E628" t="s">
        <v>413</v>
      </c>
      <c r="F628" t="s">
        <v>193</v>
      </c>
      <c r="G628">
        <v>2</v>
      </c>
      <c r="H628" t="s">
        <v>193</v>
      </c>
      <c r="I628" t="s">
        <v>193</v>
      </c>
      <c r="J628" t="s">
        <v>193</v>
      </c>
      <c r="K628" t="s">
        <v>193</v>
      </c>
      <c r="L628" t="s">
        <v>193</v>
      </c>
      <c r="M628">
        <v>2</v>
      </c>
      <c r="N628" t="s">
        <v>193</v>
      </c>
      <c r="O628" t="s">
        <v>193</v>
      </c>
      <c r="P628" t="s">
        <v>193</v>
      </c>
    </row>
    <row r="629" spans="1:16" ht="12.75">
      <c r="A629" s="62" t="str">
        <f t="shared" si="10"/>
        <v>Jordan_Poverty gap at $1 a day (PPP) (%)</v>
      </c>
      <c r="B629" t="s">
        <v>483</v>
      </c>
      <c r="C629" t="s">
        <v>199</v>
      </c>
      <c r="D629" t="s">
        <v>414</v>
      </c>
      <c r="E629" t="s">
        <v>415</v>
      </c>
      <c r="F629" t="s">
        <v>193</v>
      </c>
      <c r="G629">
        <v>0.5</v>
      </c>
      <c r="H629" t="s">
        <v>193</v>
      </c>
      <c r="I629" t="s">
        <v>193</v>
      </c>
      <c r="J629" t="s">
        <v>193</v>
      </c>
      <c r="K629" t="s">
        <v>193</v>
      </c>
      <c r="L629" t="s">
        <v>193</v>
      </c>
      <c r="M629">
        <v>0.5</v>
      </c>
      <c r="N629" t="s">
        <v>193</v>
      </c>
      <c r="O629" t="s">
        <v>193</v>
      </c>
      <c r="P629" t="s">
        <v>193</v>
      </c>
    </row>
    <row r="630" spans="1:16" ht="12.75">
      <c r="A630" s="62" t="str">
        <f t="shared" si="10"/>
        <v>Jordan_Poverty gap at $2 a day (PPP) (%)</v>
      </c>
      <c r="B630" t="s">
        <v>483</v>
      </c>
      <c r="C630" t="s">
        <v>199</v>
      </c>
      <c r="D630" t="s">
        <v>416</v>
      </c>
      <c r="E630" t="s">
        <v>417</v>
      </c>
      <c r="F630" t="s">
        <v>193</v>
      </c>
      <c r="G630">
        <v>1.39</v>
      </c>
      <c r="H630" t="s">
        <v>193</v>
      </c>
      <c r="I630" t="s">
        <v>193</v>
      </c>
      <c r="J630" t="s">
        <v>193</v>
      </c>
      <c r="K630" t="s">
        <v>193</v>
      </c>
      <c r="L630" t="s">
        <v>193</v>
      </c>
      <c r="M630">
        <v>1.46</v>
      </c>
      <c r="N630" t="s">
        <v>193</v>
      </c>
      <c r="O630" t="s">
        <v>193</v>
      </c>
      <c r="P630" t="s">
        <v>193</v>
      </c>
    </row>
    <row r="631" spans="1:16" ht="12.75">
      <c r="A631" s="62" t="str">
        <f t="shared" si="10"/>
        <v>Jordan_Population, total</v>
      </c>
      <c r="B631" t="s">
        <v>483</v>
      </c>
      <c r="C631" t="s">
        <v>199</v>
      </c>
      <c r="D631" t="s">
        <v>418</v>
      </c>
      <c r="E631" t="s">
        <v>419</v>
      </c>
      <c r="F631">
        <v>4325045</v>
      </c>
      <c r="G631">
        <v>4459121.395</v>
      </c>
      <c r="H631">
        <v>4597400</v>
      </c>
      <c r="I631">
        <v>4680500</v>
      </c>
      <c r="J631">
        <v>4797500</v>
      </c>
      <c r="K631">
        <v>4917500</v>
      </c>
      <c r="L631">
        <v>5038000</v>
      </c>
      <c r="M631">
        <v>5164000</v>
      </c>
      <c r="N631">
        <v>5290000</v>
      </c>
      <c r="O631">
        <v>5411500</v>
      </c>
      <c r="P631">
        <v>5586000</v>
      </c>
    </row>
    <row r="632" spans="1:16" ht="12.75">
      <c r="A632" s="62" t="str">
        <f t="shared" si="10"/>
        <v>Jordan_Public spending on education, total (% of GDP)</v>
      </c>
      <c r="B632" t="s">
        <v>483</v>
      </c>
      <c r="C632" t="s">
        <v>199</v>
      </c>
      <c r="D632" t="s">
        <v>420</v>
      </c>
      <c r="E632" t="s">
        <v>421</v>
      </c>
      <c r="F632" t="s">
        <v>193</v>
      </c>
      <c r="G632" t="s">
        <v>193</v>
      </c>
      <c r="H632" t="s">
        <v>193</v>
      </c>
      <c r="I632">
        <v>4.94416547862632</v>
      </c>
      <c r="J632" t="s">
        <v>193</v>
      </c>
      <c r="K632" t="s">
        <v>193</v>
      </c>
      <c r="L632" t="s">
        <v>193</v>
      </c>
      <c r="M632" t="s">
        <v>193</v>
      </c>
      <c r="N632" t="s">
        <v>193</v>
      </c>
      <c r="O632" t="s">
        <v>193</v>
      </c>
      <c r="P632" t="s">
        <v>193</v>
      </c>
    </row>
    <row r="633" spans="1:16" ht="12.75">
      <c r="A633" s="62" t="str">
        <f t="shared" si="10"/>
        <v>Jordan_Public spending on education, total (% of government expenditure)</v>
      </c>
      <c r="B633" t="s">
        <v>483</v>
      </c>
      <c r="C633" t="s">
        <v>199</v>
      </c>
      <c r="D633" t="s">
        <v>422</v>
      </c>
      <c r="E633" t="s">
        <v>423</v>
      </c>
      <c r="F633" t="s">
        <v>193</v>
      </c>
      <c r="G633" t="s">
        <v>193</v>
      </c>
      <c r="H633" t="s">
        <v>193</v>
      </c>
      <c r="I633">
        <v>20.5999999974039</v>
      </c>
      <c r="J633" t="s">
        <v>193</v>
      </c>
      <c r="K633" t="s">
        <v>193</v>
      </c>
      <c r="L633" t="s">
        <v>193</v>
      </c>
      <c r="M633" t="s">
        <v>193</v>
      </c>
      <c r="N633" t="s">
        <v>193</v>
      </c>
      <c r="O633" t="s">
        <v>193</v>
      </c>
      <c r="P633" t="s">
        <v>193</v>
      </c>
    </row>
    <row r="634" spans="1:16" ht="12.75">
      <c r="A634" s="62" t="str">
        <f t="shared" si="10"/>
        <v>Jordan_Health expenditure, public (% of total health expenditure)</v>
      </c>
      <c r="B634" t="s">
        <v>483</v>
      </c>
      <c r="C634" t="s">
        <v>199</v>
      </c>
      <c r="D634" t="s">
        <v>424</v>
      </c>
      <c r="E634" t="s">
        <v>425</v>
      </c>
      <c r="F634" t="s">
        <v>193</v>
      </c>
      <c r="G634" t="s">
        <v>193</v>
      </c>
      <c r="H634" t="s">
        <v>193</v>
      </c>
      <c r="I634" t="s">
        <v>193</v>
      </c>
      <c r="J634">
        <v>46.6</v>
      </c>
      <c r="K634">
        <v>47</v>
      </c>
      <c r="L634">
        <v>48.3</v>
      </c>
      <c r="M634">
        <v>46.8</v>
      </c>
      <c r="N634">
        <v>48.4</v>
      </c>
      <c r="O634" t="s">
        <v>193</v>
      </c>
      <c r="P634" t="s">
        <v>193</v>
      </c>
    </row>
    <row r="635" spans="1:16" ht="12.75">
      <c r="A635" s="62" t="str">
        <f t="shared" si="10"/>
        <v>Jordan_Health expenditure, public (% of GDP)</v>
      </c>
      <c r="B635" t="s">
        <v>483</v>
      </c>
      <c r="C635" t="s">
        <v>199</v>
      </c>
      <c r="D635" t="s">
        <v>426</v>
      </c>
      <c r="E635" t="s">
        <v>427</v>
      </c>
      <c r="F635" t="s">
        <v>193</v>
      </c>
      <c r="G635" t="s">
        <v>193</v>
      </c>
      <c r="H635" t="s">
        <v>193</v>
      </c>
      <c r="I635" t="s">
        <v>193</v>
      </c>
      <c r="J635">
        <v>4.3804</v>
      </c>
      <c r="K635">
        <v>4.512</v>
      </c>
      <c r="L635">
        <v>4.6851</v>
      </c>
      <c r="M635">
        <v>4.5864</v>
      </c>
      <c r="N635">
        <v>4.7432</v>
      </c>
      <c r="O635" t="s">
        <v>193</v>
      </c>
      <c r="P635" t="s">
        <v>193</v>
      </c>
    </row>
    <row r="636" spans="1:16" ht="12.75">
      <c r="A636" s="62" t="str">
        <f t="shared" si="10"/>
        <v>Jordan_Health expenditure, total (% of GDP)</v>
      </c>
      <c r="B636" t="s">
        <v>483</v>
      </c>
      <c r="C636" t="s">
        <v>199</v>
      </c>
      <c r="D636" t="s">
        <v>428</v>
      </c>
      <c r="E636" t="s">
        <v>429</v>
      </c>
      <c r="F636" t="s">
        <v>193</v>
      </c>
      <c r="G636" t="s">
        <v>193</v>
      </c>
      <c r="H636" t="s">
        <v>193</v>
      </c>
      <c r="I636" t="s">
        <v>193</v>
      </c>
      <c r="J636">
        <v>9.4</v>
      </c>
      <c r="K636">
        <v>9.6</v>
      </c>
      <c r="L636">
        <v>9.7</v>
      </c>
      <c r="M636">
        <v>9.8</v>
      </c>
      <c r="N636">
        <v>9.8</v>
      </c>
      <c r="O636" t="s">
        <v>193</v>
      </c>
      <c r="P636" t="s">
        <v>193</v>
      </c>
    </row>
    <row r="637" spans="1:16" ht="12.75">
      <c r="A637" s="62" t="str">
        <f t="shared" si="10"/>
        <v>Jordan_GDP (current LCU)</v>
      </c>
      <c r="B637" t="s">
        <v>483</v>
      </c>
      <c r="C637" t="s">
        <v>199</v>
      </c>
      <c r="D637" t="s">
        <v>430</v>
      </c>
      <c r="E637" t="s">
        <v>431</v>
      </c>
      <c r="F637">
        <v>4912206336</v>
      </c>
      <c r="G637">
        <v>5137547264</v>
      </c>
      <c r="H637">
        <v>5609860608</v>
      </c>
      <c r="I637">
        <v>5777716224</v>
      </c>
      <c r="J637">
        <v>5998440448</v>
      </c>
      <c r="K637">
        <v>6363764224</v>
      </c>
      <c r="L637">
        <v>6793959424</v>
      </c>
      <c r="M637">
        <v>7228723712</v>
      </c>
      <c r="N637">
        <v>8081089024</v>
      </c>
      <c r="O637">
        <v>9012547584</v>
      </c>
      <c r="P637">
        <v>10051000320</v>
      </c>
    </row>
    <row r="638" spans="1:16" ht="12.75">
      <c r="A638" s="62" t="str">
        <f t="shared" si="10"/>
        <v>Jordan_GDP (current US$)</v>
      </c>
      <c r="B638" t="s">
        <v>483</v>
      </c>
      <c r="C638" t="s">
        <v>199</v>
      </c>
      <c r="D638" t="s">
        <v>432</v>
      </c>
      <c r="E638" t="s">
        <v>433</v>
      </c>
      <c r="F638">
        <v>6928358912</v>
      </c>
      <c r="G638">
        <v>7246188032</v>
      </c>
      <c r="H638">
        <v>7912356352</v>
      </c>
      <c r="I638">
        <v>8149106176</v>
      </c>
      <c r="J638">
        <v>8460424192</v>
      </c>
      <c r="K638">
        <v>8975453184</v>
      </c>
      <c r="L638">
        <v>9582199808</v>
      </c>
      <c r="M638">
        <v>10195391488</v>
      </c>
      <c r="N638">
        <v>11397869568</v>
      </c>
      <c r="O638">
        <v>12711631872</v>
      </c>
      <c r="P638">
        <v>14176305152</v>
      </c>
    </row>
    <row r="639" spans="1:16" ht="12.75">
      <c r="A639" s="62" t="str">
        <f t="shared" si="10"/>
        <v>Jordan_GDP per capita, PPP (current international $)</v>
      </c>
      <c r="B639" t="s">
        <v>483</v>
      </c>
      <c r="C639" t="s">
        <v>199</v>
      </c>
      <c r="D639" t="s">
        <v>434</v>
      </c>
      <c r="E639" t="s">
        <v>435</v>
      </c>
      <c r="F639">
        <v>3776.99993347755</v>
      </c>
      <c r="G639">
        <v>3847.8223060084</v>
      </c>
      <c r="H639">
        <v>3887.22690238478</v>
      </c>
      <c r="I639">
        <v>4004.72855088441</v>
      </c>
      <c r="J639">
        <v>4161.68337043129</v>
      </c>
      <c r="K639">
        <v>4377.02137105359</v>
      </c>
      <c r="L639">
        <v>4598.61315832126</v>
      </c>
      <c r="M639">
        <v>4768.97805362771</v>
      </c>
      <c r="N639">
        <v>5180.26585766402</v>
      </c>
      <c r="O639">
        <v>5593.06649644424</v>
      </c>
      <c r="P639">
        <v>5988.32585330905</v>
      </c>
    </row>
    <row r="640" spans="1:16" ht="12.75">
      <c r="A640" s="62" t="str">
        <f t="shared" si="10"/>
        <v>Jordan_GDP per capita, PPP (constant 2000 international $)</v>
      </c>
      <c r="B640" t="s">
        <v>483</v>
      </c>
      <c r="C640" t="s">
        <v>199</v>
      </c>
      <c r="D640" t="s">
        <v>436</v>
      </c>
      <c r="E640" t="s">
        <v>437</v>
      </c>
      <c r="F640">
        <v>4024.71907985488</v>
      </c>
      <c r="G640">
        <v>4032.82402508701</v>
      </c>
      <c r="H640">
        <v>4029.35549209612</v>
      </c>
      <c r="I640">
        <v>4092.02583965851</v>
      </c>
      <c r="J640">
        <v>4161.68337043129</v>
      </c>
      <c r="K640">
        <v>4274.06729964764</v>
      </c>
      <c r="L640">
        <v>4413.21333147815</v>
      </c>
      <c r="M640">
        <v>4485.42090491967</v>
      </c>
      <c r="N640">
        <v>4747.67541659191</v>
      </c>
      <c r="O640">
        <v>4975.90829754694</v>
      </c>
      <c r="P640">
        <v>5175.99304835873</v>
      </c>
    </row>
    <row r="641" spans="1:16" ht="12.75">
      <c r="A641" s="62" t="str">
        <f t="shared" si="10"/>
        <v>Jordan_GINI index</v>
      </c>
      <c r="B641" t="s">
        <v>483</v>
      </c>
      <c r="C641" t="s">
        <v>199</v>
      </c>
      <c r="D641" t="s">
        <v>438</v>
      </c>
      <c r="E641" t="s">
        <v>439</v>
      </c>
      <c r="F641" t="s">
        <v>193</v>
      </c>
      <c r="G641">
        <v>36.42</v>
      </c>
      <c r="H641" t="s">
        <v>193</v>
      </c>
      <c r="I641" t="s">
        <v>193</v>
      </c>
      <c r="J641" t="s">
        <v>193</v>
      </c>
      <c r="K641" t="s">
        <v>193</v>
      </c>
      <c r="L641" t="s">
        <v>193</v>
      </c>
      <c r="M641">
        <v>38.838</v>
      </c>
      <c r="N641" t="s">
        <v>193</v>
      </c>
      <c r="O641" t="s">
        <v>193</v>
      </c>
      <c r="P641" t="s">
        <v>193</v>
      </c>
    </row>
    <row r="642" spans="1:16" ht="12.75">
      <c r="A642" s="62" t="str">
        <f t="shared" si="10"/>
        <v>Kazakhstan_Poverty headcount ratio at national poverty line (% of population)</v>
      </c>
      <c r="B642" t="s">
        <v>484</v>
      </c>
      <c r="C642" t="s">
        <v>213</v>
      </c>
      <c r="D642" t="s">
        <v>408</v>
      </c>
      <c r="E642" t="s">
        <v>409</v>
      </c>
      <c r="F642">
        <v>34.6</v>
      </c>
      <c r="G642" t="s">
        <v>193</v>
      </c>
      <c r="H642" t="s">
        <v>193</v>
      </c>
      <c r="I642" t="s">
        <v>193</v>
      </c>
      <c r="J642" t="s">
        <v>193</v>
      </c>
      <c r="K642" t="s">
        <v>193</v>
      </c>
      <c r="L642" t="s">
        <v>193</v>
      </c>
      <c r="M642" t="s">
        <v>193</v>
      </c>
      <c r="N642" t="s">
        <v>193</v>
      </c>
      <c r="O642" t="s">
        <v>193</v>
      </c>
      <c r="P642" t="s">
        <v>193</v>
      </c>
    </row>
    <row r="643" spans="1:16" ht="12.75">
      <c r="A643" s="62" t="str">
        <f t="shared" si="10"/>
        <v>Kazakhstan_Poverty headcount ratio at $2 a day (PPP) (% of population)</v>
      </c>
      <c r="B643" t="s">
        <v>484</v>
      </c>
      <c r="C643" t="s">
        <v>213</v>
      </c>
      <c r="D643" t="s">
        <v>410</v>
      </c>
      <c r="E643" t="s">
        <v>411</v>
      </c>
      <c r="F643">
        <v>18.66</v>
      </c>
      <c r="G643" t="s">
        <v>193</v>
      </c>
      <c r="H643" t="s">
        <v>193</v>
      </c>
      <c r="I643" t="s">
        <v>193</v>
      </c>
      <c r="J643" t="s">
        <v>193</v>
      </c>
      <c r="K643">
        <v>8.45</v>
      </c>
      <c r="L643" t="s">
        <v>193</v>
      </c>
      <c r="M643">
        <v>16.04</v>
      </c>
      <c r="N643" t="s">
        <v>193</v>
      </c>
      <c r="O643" t="s">
        <v>193</v>
      </c>
      <c r="P643" t="s">
        <v>193</v>
      </c>
    </row>
    <row r="644" spans="1:16" ht="12.75">
      <c r="A644" s="62" t="str">
        <f t="shared" si="10"/>
        <v>Kazakhstan_Poverty headcount ratio at $1 a day (PPP) (% of population)</v>
      </c>
      <c r="B644" t="s">
        <v>484</v>
      </c>
      <c r="C644" t="s">
        <v>213</v>
      </c>
      <c r="D644" t="s">
        <v>412</v>
      </c>
      <c r="E644" t="s">
        <v>413</v>
      </c>
      <c r="F644">
        <v>2</v>
      </c>
      <c r="G644" t="s">
        <v>193</v>
      </c>
      <c r="H644" t="s">
        <v>193</v>
      </c>
      <c r="I644" t="s">
        <v>193</v>
      </c>
      <c r="J644" t="s">
        <v>193</v>
      </c>
      <c r="K644">
        <v>2</v>
      </c>
      <c r="L644" t="s">
        <v>193</v>
      </c>
      <c r="M644">
        <v>2</v>
      </c>
      <c r="N644" t="s">
        <v>193</v>
      </c>
      <c r="O644" t="s">
        <v>193</v>
      </c>
      <c r="P644" t="s">
        <v>193</v>
      </c>
    </row>
    <row r="645" spans="1:16" ht="12.75">
      <c r="A645" s="62" t="str">
        <f t="shared" si="10"/>
        <v>Kazakhstan_Poverty gap at $1 a day (PPP) (%)</v>
      </c>
      <c r="B645" t="s">
        <v>484</v>
      </c>
      <c r="C645" t="s">
        <v>213</v>
      </c>
      <c r="D645" t="s">
        <v>414</v>
      </c>
      <c r="E645" t="s">
        <v>415</v>
      </c>
      <c r="F645">
        <v>0.5</v>
      </c>
      <c r="G645" t="s">
        <v>193</v>
      </c>
      <c r="H645" t="s">
        <v>193</v>
      </c>
      <c r="I645" t="s">
        <v>193</v>
      </c>
      <c r="J645" t="s">
        <v>193</v>
      </c>
      <c r="K645">
        <v>0.5</v>
      </c>
      <c r="L645" t="s">
        <v>193</v>
      </c>
      <c r="M645">
        <v>0.5</v>
      </c>
      <c r="N645" t="s">
        <v>193</v>
      </c>
      <c r="O645" t="s">
        <v>193</v>
      </c>
      <c r="P645" t="s">
        <v>193</v>
      </c>
    </row>
    <row r="646" spans="1:16" ht="12.75">
      <c r="A646" s="62" t="str">
        <f t="shared" si="10"/>
        <v>Kazakhstan_Poverty gap at $2 a day (PPP) (%)</v>
      </c>
      <c r="B646" t="s">
        <v>484</v>
      </c>
      <c r="C646" t="s">
        <v>213</v>
      </c>
      <c r="D646" t="s">
        <v>416</v>
      </c>
      <c r="E646" t="s">
        <v>417</v>
      </c>
      <c r="F646">
        <v>4.9</v>
      </c>
      <c r="G646" t="s">
        <v>193</v>
      </c>
      <c r="H646" t="s">
        <v>193</v>
      </c>
      <c r="I646" t="s">
        <v>193</v>
      </c>
      <c r="J646" t="s">
        <v>193</v>
      </c>
      <c r="K646">
        <v>1.37</v>
      </c>
      <c r="L646" t="s">
        <v>193</v>
      </c>
      <c r="M646">
        <v>3.76</v>
      </c>
      <c r="N646" t="s">
        <v>193</v>
      </c>
      <c r="O646" t="s">
        <v>193</v>
      </c>
      <c r="P646" t="s">
        <v>193</v>
      </c>
    </row>
    <row r="647" spans="1:16" ht="12.75">
      <c r="A647" s="62" t="str">
        <f t="shared" si="10"/>
        <v>Kazakhstan_Population, total</v>
      </c>
      <c r="B647" t="s">
        <v>484</v>
      </c>
      <c r="C647" t="s">
        <v>213</v>
      </c>
      <c r="D647" t="s">
        <v>418</v>
      </c>
      <c r="E647" t="s">
        <v>419</v>
      </c>
      <c r="F647">
        <v>15577894.256927</v>
      </c>
      <c r="G647">
        <v>15333703.0400356</v>
      </c>
      <c r="H647">
        <v>15071300.1250721</v>
      </c>
      <c r="I647">
        <v>14928425.8540544</v>
      </c>
      <c r="J647">
        <v>14883589.1155325</v>
      </c>
      <c r="K647">
        <v>14858348.2312133</v>
      </c>
      <c r="L647">
        <v>14858997.8999258</v>
      </c>
      <c r="M647">
        <v>14908990.4178653</v>
      </c>
      <c r="N647">
        <v>15012872.8016992</v>
      </c>
      <c r="O647">
        <v>15147050</v>
      </c>
      <c r="P647">
        <v>15308084</v>
      </c>
    </row>
    <row r="648" spans="1:16" ht="12.75">
      <c r="A648" s="62" t="str">
        <f t="shared" si="10"/>
        <v>Kazakhstan_Public spending on education, total (% of GDP)</v>
      </c>
      <c r="B648" t="s">
        <v>484</v>
      </c>
      <c r="C648" t="s">
        <v>213</v>
      </c>
      <c r="D648" t="s">
        <v>420</v>
      </c>
      <c r="E648" t="s">
        <v>421</v>
      </c>
      <c r="F648" t="s">
        <v>193</v>
      </c>
      <c r="G648" t="s">
        <v>193</v>
      </c>
      <c r="H648" t="s">
        <v>193</v>
      </c>
      <c r="I648">
        <v>3.89257125506302</v>
      </c>
      <c r="J648">
        <v>3.25662309450107</v>
      </c>
      <c r="K648">
        <v>3.05320997795917</v>
      </c>
      <c r="L648">
        <v>3.02970320909179</v>
      </c>
      <c r="M648">
        <v>3.02969958562904</v>
      </c>
      <c r="N648">
        <v>2.25591074878715</v>
      </c>
      <c r="O648">
        <v>2.3053212921352</v>
      </c>
      <c r="P648" t="s">
        <v>193</v>
      </c>
    </row>
    <row r="649" spans="1:16" ht="12.75">
      <c r="A649" s="62" t="str">
        <f t="shared" si="10"/>
        <v>Kazakhstan_Public spending on education, total (% of government expenditure)</v>
      </c>
      <c r="B649" t="s">
        <v>484</v>
      </c>
      <c r="C649" t="s">
        <v>213</v>
      </c>
      <c r="D649" t="s">
        <v>422</v>
      </c>
      <c r="E649" t="s">
        <v>423</v>
      </c>
      <c r="F649" t="s">
        <v>193</v>
      </c>
      <c r="G649" t="s">
        <v>193</v>
      </c>
      <c r="H649" t="s">
        <v>193</v>
      </c>
      <c r="I649">
        <v>14.4407015400692</v>
      </c>
      <c r="J649">
        <v>12.0883529549498</v>
      </c>
      <c r="K649" t="s">
        <v>193</v>
      </c>
      <c r="L649" t="s">
        <v>193</v>
      </c>
      <c r="M649" t="s">
        <v>193</v>
      </c>
      <c r="N649" t="s">
        <v>193</v>
      </c>
      <c r="O649" t="s">
        <v>193</v>
      </c>
      <c r="P649" t="s">
        <v>193</v>
      </c>
    </row>
    <row r="650" spans="1:16" ht="12.75">
      <c r="A650" s="62" t="str">
        <f t="shared" si="10"/>
        <v>Kazakhstan_Health expenditure, public (% of total health expenditure)</v>
      </c>
      <c r="B650" t="s">
        <v>484</v>
      </c>
      <c r="C650" t="s">
        <v>213</v>
      </c>
      <c r="D650" t="s">
        <v>424</v>
      </c>
      <c r="E650" t="s">
        <v>425</v>
      </c>
      <c r="F650" t="s">
        <v>193</v>
      </c>
      <c r="G650" t="s">
        <v>193</v>
      </c>
      <c r="H650" t="s">
        <v>193</v>
      </c>
      <c r="I650" t="s">
        <v>193</v>
      </c>
      <c r="J650">
        <v>49.2</v>
      </c>
      <c r="K650">
        <v>52.8</v>
      </c>
      <c r="L650">
        <v>53</v>
      </c>
      <c r="M650">
        <v>54.4</v>
      </c>
      <c r="N650">
        <v>59.8</v>
      </c>
      <c r="O650" t="s">
        <v>193</v>
      </c>
      <c r="P650" t="s">
        <v>193</v>
      </c>
    </row>
    <row r="651" spans="1:16" ht="12.75">
      <c r="A651" s="62" t="str">
        <f t="shared" si="10"/>
        <v>Kazakhstan_Health expenditure, public (% of GDP)</v>
      </c>
      <c r="B651" t="s">
        <v>484</v>
      </c>
      <c r="C651" t="s">
        <v>213</v>
      </c>
      <c r="D651" t="s">
        <v>426</v>
      </c>
      <c r="E651" t="s">
        <v>427</v>
      </c>
      <c r="F651" t="s">
        <v>193</v>
      </c>
      <c r="G651" t="s">
        <v>193</v>
      </c>
      <c r="H651" t="s">
        <v>193</v>
      </c>
      <c r="I651" t="s">
        <v>193</v>
      </c>
      <c r="J651">
        <v>1.968</v>
      </c>
      <c r="K651">
        <v>1.6368</v>
      </c>
      <c r="L651">
        <v>1.855</v>
      </c>
      <c r="M651">
        <v>1.9584</v>
      </c>
      <c r="N651">
        <v>2.2724</v>
      </c>
      <c r="O651" t="s">
        <v>193</v>
      </c>
      <c r="P651" t="s">
        <v>193</v>
      </c>
    </row>
    <row r="652" spans="1:16" ht="12.75">
      <c r="A652" s="62" t="str">
        <f t="shared" si="10"/>
        <v>Kazakhstan_Health expenditure, total (% of GDP)</v>
      </c>
      <c r="B652" t="s">
        <v>484</v>
      </c>
      <c r="C652" t="s">
        <v>213</v>
      </c>
      <c r="D652" t="s">
        <v>428</v>
      </c>
      <c r="E652" t="s">
        <v>429</v>
      </c>
      <c r="F652" t="s">
        <v>193</v>
      </c>
      <c r="G652" t="s">
        <v>193</v>
      </c>
      <c r="H652" t="s">
        <v>193</v>
      </c>
      <c r="I652" t="s">
        <v>193</v>
      </c>
      <c r="J652">
        <v>4</v>
      </c>
      <c r="K652">
        <v>3.1</v>
      </c>
      <c r="L652">
        <v>3.5</v>
      </c>
      <c r="M652">
        <v>3.6</v>
      </c>
      <c r="N652">
        <v>3.8</v>
      </c>
      <c r="O652" t="s">
        <v>193</v>
      </c>
      <c r="P652" t="s">
        <v>193</v>
      </c>
    </row>
    <row r="653" spans="1:16" ht="12.75">
      <c r="A653" s="62" t="str">
        <f t="shared" si="10"/>
        <v>Kazakhstan_GDP (current LCU)</v>
      </c>
      <c r="B653" t="s">
        <v>484</v>
      </c>
      <c r="C653" t="s">
        <v>213</v>
      </c>
      <c r="D653" t="s">
        <v>430</v>
      </c>
      <c r="E653" t="s">
        <v>431</v>
      </c>
      <c r="F653">
        <v>1415749697536</v>
      </c>
      <c r="G653">
        <v>1672142520320</v>
      </c>
      <c r="H653">
        <v>1733263491072</v>
      </c>
      <c r="I653">
        <v>2016456343552</v>
      </c>
      <c r="J653">
        <v>2599901724672</v>
      </c>
      <c r="K653">
        <v>3250593202176</v>
      </c>
      <c r="L653">
        <v>3776277381120</v>
      </c>
      <c r="M653">
        <v>4611975413760</v>
      </c>
      <c r="N653">
        <v>5870134493184</v>
      </c>
      <c r="O653">
        <v>7590593429504</v>
      </c>
      <c r="P653">
        <v>9738799546368</v>
      </c>
    </row>
    <row r="654" spans="1:16" ht="12.75">
      <c r="A654" s="62" t="str">
        <f t="shared" si="10"/>
        <v>Kazakhstan_GDP (current US$)</v>
      </c>
      <c r="B654" t="s">
        <v>484</v>
      </c>
      <c r="C654" t="s">
        <v>213</v>
      </c>
      <c r="D654" t="s">
        <v>432</v>
      </c>
      <c r="E654" t="s">
        <v>433</v>
      </c>
      <c r="F654">
        <v>21035358208</v>
      </c>
      <c r="G654">
        <v>22165932032</v>
      </c>
      <c r="H654">
        <v>22135244800</v>
      </c>
      <c r="I654">
        <v>16870816768</v>
      </c>
      <c r="J654">
        <v>18291990528</v>
      </c>
      <c r="K654">
        <v>22152689664</v>
      </c>
      <c r="L654">
        <v>24636598272</v>
      </c>
      <c r="M654">
        <v>30833657856</v>
      </c>
      <c r="N654">
        <v>43151646720</v>
      </c>
      <c r="O654">
        <v>57123672064</v>
      </c>
      <c r="P654">
        <v>77236895744</v>
      </c>
    </row>
    <row r="655" spans="1:16" ht="12.75">
      <c r="A655" s="62" t="str">
        <f t="shared" si="10"/>
        <v>Kazakhstan_GDP per capita, PPP (current international $)</v>
      </c>
      <c r="B655" t="s">
        <v>484</v>
      </c>
      <c r="C655" t="s">
        <v>213</v>
      </c>
      <c r="D655" t="s">
        <v>434</v>
      </c>
      <c r="E655" t="s">
        <v>435</v>
      </c>
      <c r="F655">
        <v>3463.03304571164</v>
      </c>
      <c r="G655">
        <v>3637.75659098719</v>
      </c>
      <c r="H655">
        <v>3671.11131590506</v>
      </c>
      <c r="I655">
        <v>3861.31377831251</v>
      </c>
      <c r="J655">
        <v>4345.19291223588</v>
      </c>
      <c r="K655">
        <v>5059.17125070957</v>
      </c>
      <c r="L655">
        <v>5651.93790201176</v>
      </c>
      <c r="M655">
        <v>6282.15991455147</v>
      </c>
      <c r="N655">
        <v>7017.02255698486</v>
      </c>
      <c r="O655">
        <v>7859.6254164864</v>
      </c>
      <c r="P655">
        <v>8853.15998935198</v>
      </c>
    </row>
    <row r="656" spans="1:16" ht="12.75">
      <c r="A656" s="62" t="str">
        <f t="shared" si="10"/>
        <v>Kazakhstan_GDP per capita, PPP (constant 2000 international $)</v>
      </c>
      <c r="B656" t="s">
        <v>484</v>
      </c>
      <c r="C656" t="s">
        <v>213</v>
      </c>
      <c r="D656" t="s">
        <v>436</v>
      </c>
      <c r="E656" t="s">
        <v>437</v>
      </c>
      <c r="F656">
        <v>3690.1602908981</v>
      </c>
      <c r="G656">
        <v>3812.65843660291</v>
      </c>
      <c r="H656">
        <v>3805.33807629377</v>
      </c>
      <c r="I656">
        <v>3945.4848325225</v>
      </c>
      <c r="J656">
        <v>4345.19291223588</v>
      </c>
      <c r="K656">
        <v>4940.17199664033</v>
      </c>
      <c r="L656">
        <v>5424.07174491506</v>
      </c>
      <c r="M656">
        <v>5908.63096703553</v>
      </c>
      <c r="N656">
        <v>6431.04937214375</v>
      </c>
      <c r="O656">
        <v>6992.36730876858</v>
      </c>
      <c r="P656">
        <v>7652.20458662448</v>
      </c>
    </row>
    <row r="657" spans="1:16" ht="12.75">
      <c r="A657" s="62" t="str">
        <f t="shared" si="10"/>
        <v>Kazakhstan_GINI index</v>
      </c>
      <c r="B657" t="s">
        <v>484</v>
      </c>
      <c r="C657" t="s">
        <v>213</v>
      </c>
      <c r="D657" t="s">
        <v>438</v>
      </c>
      <c r="E657" t="s">
        <v>439</v>
      </c>
      <c r="F657">
        <v>35.32</v>
      </c>
      <c r="G657" t="s">
        <v>193</v>
      </c>
      <c r="H657" t="s">
        <v>193</v>
      </c>
      <c r="I657" t="s">
        <v>193</v>
      </c>
      <c r="J657" t="s">
        <v>193</v>
      </c>
      <c r="K657">
        <v>31.3</v>
      </c>
      <c r="L657" t="s">
        <v>193</v>
      </c>
      <c r="M657">
        <v>33.91</v>
      </c>
      <c r="N657" t="s">
        <v>193</v>
      </c>
      <c r="O657" t="s">
        <v>193</v>
      </c>
      <c r="P657" t="s">
        <v>193</v>
      </c>
    </row>
    <row r="658" spans="1:16" ht="12.75">
      <c r="A658" s="62" t="str">
        <f t="shared" si="10"/>
        <v>Korea, Dem. Rep._Poverty headcount ratio at national poverty line (% of population)</v>
      </c>
      <c r="B658" t="s">
        <v>485</v>
      </c>
      <c r="C658" t="s">
        <v>486</v>
      </c>
      <c r="D658" t="s">
        <v>408</v>
      </c>
      <c r="E658" t="s">
        <v>409</v>
      </c>
      <c r="F658" t="s">
        <v>193</v>
      </c>
      <c r="G658" t="s">
        <v>193</v>
      </c>
      <c r="H658" t="s">
        <v>193</v>
      </c>
      <c r="I658" t="s">
        <v>193</v>
      </c>
      <c r="J658" t="s">
        <v>193</v>
      </c>
      <c r="K658" t="s">
        <v>193</v>
      </c>
      <c r="L658" t="s">
        <v>193</v>
      </c>
      <c r="M658" t="s">
        <v>193</v>
      </c>
      <c r="N658" t="s">
        <v>193</v>
      </c>
      <c r="O658" t="s">
        <v>193</v>
      </c>
      <c r="P658" t="s">
        <v>193</v>
      </c>
    </row>
    <row r="659" spans="1:16" ht="12.75">
      <c r="A659" s="62" t="str">
        <f t="shared" si="10"/>
        <v>Korea, Dem. Rep._Poverty headcount ratio at $2 a day (PPP) (% of population)</v>
      </c>
      <c r="B659" t="s">
        <v>485</v>
      </c>
      <c r="C659" t="s">
        <v>486</v>
      </c>
      <c r="D659" t="s">
        <v>410</v>
      </c>
      <c r="E659" t="s">
        <v>411</v>
      </c>
      <c r="F659" t="s">
        <v>193</v>
      </c>
      <c r="G659" t="s">
        <v>193</v>
      </c>
      <c r="H659" t="s">
        <v>193</v>
      </c>
      <c r="I659" t="s">
        <v>193</v>
      </c>
      <c r="J659" t="s">
        <v>193</v>
      </c>
      <c r="K659" t="s">
        <v>193</v>
      </c>
      <c r="L659" t="s">
        <v>193</v>
      </c>
      <c r="M659" t="s">
        <v>193</v>
      </c>
      <c r="N659" t="s">
        <v>193</v>
      </c>
      <c r="O659" t="s">
        <v>193</v>
      </c>
      <c r="P659" t="s">
        <v>193</v>
      </c>
    </row>
    <row r="660" spans="1:16" ht="12.75">
      <c r="A660" s="62" t="str">
        <f t="shared" si="10"/>
        <v>Korea, Dem. Rep._Poverty headcount ratio at $1 a day (PPP) (% of population)</v>
      </c>
      <c r="B660" t="s">
        <v>485</v>
      </c>
      <c r="C660" t="s">
        <v>486</v>
      </c>
      <c r="D660" t="s">
        <v>412</v>
      </c>
      <c r="E660" t="s">
        <v>413</v>
      </c>
      <c r="F660" t="s">
        <v>193</v>
      </c>
      <c r="G660" t="s">
        <v>193</v>
      </c>
      <c r="H660" t="s">
        <v>193</v>
      </c>
      <c r="I660" t="s">
        <v>193</v>
      </c>
      <c r="J660" t="s">
        <v>193</v>
      </c>
      <c r="K660" t="s">
        <v>193</v>
      </c>
      <c r="L660" t="s">
        <v>193</v>
      </c>
      <c r="M660" t="s">
        <v>193</v>
      </c>
      <c r="N660" t="s">
        <v>193</v>
      </c>
      <c r="O660" t="s">
        <v>193</v>
      </c>
      <c r="P660" t="s">
        <v>193</v>
      </c>
    </row>
    <row r="661" spans="1:16" ht="12.75">
      <c r="A661" s="62" t="str">
        <f t="shared" si="10"/>
        <v>Korea, Dem. Rep._Poverty gap at $1 a day (PPP) (%)</v>
      </c>
      <c r="B661" t="s">
        <v>485</v>
      </c>
      <c r="C661" t="s">
        <v>486</v>
      </c>
      <c r="D661" t="s">
        <v>414</v>
      </c>
      <c r="E661" t="s">
        <v>415</v>
      </c>
      <c r="F661" t="s">
        <v>193</v>
      </c>
      <c r="G661" t="s">
        <v>193</v>
      </c>
      <c r="H661" t="s">
        <v>193</v>
      </c>
      <c r="I661" t="s">
        <v>193</v>
      </c>
      <c r="J661" t="s">
        <v>193</v>
      </c>
      <c r="K661" t="s">
        <v>193</v>
      </c>
      <c r="L661" t="s">
        <v>193</v>
      </c>
      <c r="M661" t="s">
        <v>193</v>
      </c>
      <c r="N661" t="s">
        <v>193</v>
      </c>
      <c r="O661" t="s">
        <v>193</v>
      </c>
      <c r="P661" t="s">
        <v>193</v>
      </c>
    </row>
    <row r="662" spans="1:16" ht="12.75">
      <c r="A662" s="62" t="str">
        <f t="shared" si="10"/>
        <v>Korea, Dem. Rep._Poverty gap at $2 a day (PPP) (%)</v>
      </c>
      <c r="B662" t="s">
        <v>485</v>
      </c>
      <c r="C662" t="s">
        <v>486</v>
      </c>
      <c r="D662" t="s">
        <v>416</v>
      </c>
      <c r="E662" t="s">
        <v>417</v>
      </c>
      <c r="F662" t="s">
        <v>193</v>
      </c>
      <c r="G662" t="s">
        <v>193</v>
      </c>
      <c r="H662" t="s">
        <v>193</v>
      </c>
      <c r="I662" t="s">
        <v>193</v>
      </c>
      <c r="J662" t="s">
        <v>193</v>
      </c>
      <c r="K662" t="s">
        <v>193</v>
      </c>
      <c r="L662" t="s">
        <v>193</v>
      </c>
      <c r="M662" t="s">
        <v>193</v>
      </c>
      <c r="N662" t="s">
        <v>193</v>
      </c>
      <c r="O662" t="s">
        <v>193</v>
      </c>
      <c r="P662" t="s">
        <v>193</v>
      </c>
    </row>
    <row r="663" spans="1:16" ht="12.75">
      <c r="A663" s="62" t="str">
        <f t="shared" si="10"/>
        <v>Korea, Dem. Rep._Population, total</v>
      </c>
      <c r="B663" t="s">
        <v>485</v>
      </c>
      <c r="C663" t="s">
        <v>486</v>
      </c>
      <c r="D663" t="s">
        <v>418</v>
      </c>
      <c r="E663" t="s">
        <v>419</v>
      </c>
      <c r="F663">
        <v>21134065</v>
      </c>
      <c r="G663">
        <v>21336341</v>
      </c>
      <c r="H663">
        <v>21524947</v>
      </c>
      <c r="I663">
        <v>21700109</v>
      </c>
      <c r="J663">
        <v>21862146</v>
      </c>
      <c r="K663">
        <v>22010991</v>
      </c>
      <c r="L663">
        <v>22146808</v>
      </c>
      <c r="M663">
        <v>22270608</v>
      </c>
      <c r="N663">
        <v>22383776</v>
      </c>
      <c r="O663">
        <v>22487661</v>
      </c>
      <c r="P663">
        <v>22568939.1383364</v>
      </c>
    </row>
    <row r="664" spans="1:16" ht="12.75">
      <c r="A664" s="62" t="str">
        <f t="shared" si="10"/>
        <v>Korea, Dem. Rep._Public spending on education, total (% of GDP)</v>
      </c>
      <c r="B664" t="s">
        <v>485</v>
      </c>
      <c r="C664" t="s">
        <v>486</v>
      </c>
      <c r="D664" t="s">
        <v>420</v>
      </c>
      <c r="E664" t="s">
        <v>421</v>
      </c>
      <c r="F664" t="s">
        <v>193</v>
      </c>
      <c r="G664" t="s">
        <v>193</v>
      </c>
      <c r="H664" t="s">
        <v>193</v>
      </c>
      <c r="I664" t="s">
        <v>193</v>
      </c>
      <c r="J664" t="s">
        <v>193</v>
      </c>
      <c r="K664" t="s">
        <v>193</v>
      </c>
      <c r="L664" t="s">
        <v>193</v>
      </c>
      <c r="M664" t="s">
        <v>193</v>
      </c>
      <c r="N664" t="s">
        <v>193</v>
      </c>
      <c r="O664" t="s">
        <v>193</v>
      </c>
      <c r="P664" t="s">
        <v>193</v>
      </c>
    </row>
    <row r="665" spans="1:16" ht="12.75">
      <c r="A665" s="62" t="str">
        <f t="shared" si="10"/>
        <v>Korea, Dem. Rep._Public spending on education, total (% of government expenditure)</v>
      </c>
      <c r="B665" t="s">
        <v>485</v>
      </c>
      <c r="C665" t="s">
        <v>486</v>
      </c>
      <c r="D665" t="s">
        <v>422</v>
      </c>
      <c r="E665" t="s">
        <v>423</v>
      </c>
      <c r="F665" t="s">
        <v>193</v>
      </c>
      <c r="G665" t="s">
        <v>193</v>
      </c>
      <c r="H665" t="s">
        <v>193</v>
      </c>
      <c r="I665" t="s">
        <v>193</v>
      </c>
      <c r="J665" t="s">
        <v>193</v>
      </c>
      <c r="K665" t="s">
        <v>193</v>
      </c>
      <c r="L665" t="s">
        <v>193</v>
      </c>
      <c r="M665" t="s">
        <v>193</v>
      </c>
      <c r="N665" t="s">
        <v>193</v>
      </c>
      <c r="O665" t="s">
        <v>193</v>
      </c>
      <c r="P665" t="s">
        <v>193</v>
      </c>
    </row>
    <row r="666" spans="1:16" ht="12.75">
      <c r="A666" s="62" t="str">
        <f t="shared" si="10"/>
        <v>Korea, Dem. Rep._Health expenditure, public (% of total health expenditure)</v>
      </c>
      <c r="B666" t="s">
        <v>485</v>
      </c>
      <c r="C666" t="s">
        <v>486</v>
      </c>
      <c r="D666" t="s">
        <v>424</v>
      </c>
      <c r="E666" t="s">
        <v>425</v>
      </c>
      <c r="F666" t="s">
        <v>193</v>
      </c>
      <c r="G666" t="s">
        <v>193</v>
      </c>
      <c r="H666" t="s">
        <v>193</v>
      </c>
      <c r="I666" t="s">
        <v>193</v>
      </c>
      <c r="J666">
        <v>85.9</v>
      </c>
      <c r="K666">
        <v>85.6</v>
      </c>
      <c r="L666">
        <v>85.5</v>
      </c>
      <c r="M666">
        <v>85.6</v>
      </c>
      <c r="N666">
        <v>85.6</v>
      </c>
      <c r="O666" t="s">
        <v>193</v>
      </c>
      <c r="P666" t="s">
        <v>193</v>
      </c>
    </row>
    <row r="667" spans="1:16" ht="12.75">
      <c r="A667" s="62" t="str">
        <f t="shared" si="10"/>
        <v>Korea, Dem. Rep._Health expenditure, public (% of GDP)</v>
      </c>
      <c r="B667" t="s">
        <v>485</v>
      </c>
      <c r="C667" t="s">
        <v>486</v>
      </c>
      <c r="D667" t="s">
        <v>426</v>
      </c>
      <c r="E667" t="s">
        <v>427</v>
      </c>
      <c r="F667" t="s">
        <v>193</v>
      </c>
      <c r="G667" t="s">
        <v>193</v>
      </c>
      <c r="H667" t="s">
        <v>193</v>
      </c>
      <c r="I667" t="s">
        <v>193</v>
      </c>
      <c r="J667">
        <v>3.0924</v>
      </c>
      <c r="K667">
        <v>2.996</v>
      </c>
      <c r="L667">
        <v>2.9925</v>
      </c>
      <c r="M667">
        <v>2.996</v>
      </c>
      <c r="N667">
        <v>2.996</v>
      </c>
      <c r="O667" t="s">
        <v>193</v>
      </c>
      <c r="P667" t="s">
        <v>193</v>
      </c>
    </row>
    <row r="668" spans="1:16" ht="12.75">
      <c r="A668" s="62" t="str">
        <f t="shared" si="10"/>
        <v>Korea, Dem. Rep._Health expenditure, total (% of GDP)</v>
      </c>
      <c r="B668" t="s">
        <v>485</v>
      </c>
      <c r="C668" t="s">
        <v>486</v>
      </c>
      <c r="D668" t="s">
        <v>428</v>
      </c>
      <c r="E668" t="s">
        <v>429</v>
      </c>
      <c r="F668" t="s">
        <v>193</v>
      </c>
      <c r="G668" t="s">
        <v>193</v>
      </c>
      <c r="H668" t="s">
        <v>193</v>
      </c>
      <c r="I668" t="s">
        <v>193</v>
      </c>
      <c r="J668">
        <v>3.6</v>
      </c>
      <c r="K668">
        <v>3.5</v>
      </c>
      <c r="L668">
        <v>3.5</v>
      </c>
      <c r="M668">
        <v>3.5</v>
      </c>
      <c r="N668">
        <v>3.5</v>
      </c>
      <c r="O668" t="s">
        <v>193</v>
      </c>
      <c r="P668" t="s">
        <v>193</v>
      </c>
    </row>
    <row r="669" spans="1:16" ht="12.75">
      <c r="A669" s="62" t="str">
        <f t="shared" si="10"/>
        <v>Korea, Dem. Rep._GDP (current LCU)</v>
      </c>
      <c r="B669" t="s">
        <v>485</v>
      </c>
      <c r="C669" t="s">
        <v>486</v>
      </c>
      <c r="D669" t="s">
        <v>430</v>
      </c>
      <c r="E669" t="s">
        <v>431</v>
      </c>
      <c r="F669" t="s">
        <v>193</v>
      </c>
      <c r="G669" t="s">
        <v>193</v>
      </c>
      <c r="H669" t="s">
        <v>193</v>
      </c>
      <c r="I669" t="s">
        <v>193</v>
      </c>
      <c r="J669" t="s">
        <v>193</v>
      </c>
      <c r="K669" t="s">
        <v>193</v>
      </c>
      <c r="L669" t="s">
        <v>193</v>
      </c>
      <c r="M669" t="s">
        <v>193</v>
      </c>
      <c r="N669" t="s">
        <v>193</v>
      </c>
      <c r="O669" t="s">
        <v>193</v>
      </c>
      <c r="P669" t="s">
        <v>193</v>
      </c>
    </row>
    <row r="670" spans="1:16" ht="12.75">
      <c r="A670" s="62" t="str">
        <f t="shared" si="10"/>
        <v>Korea, Dem. Rep._GDP (current US$)</v>
      </c>
      <c r="B670" t="s">
        <v>485</v>
      </c>
      <c r="C670" t="s">
        <v>486</v>
      </c>
      <c r="D670" t="s">
        <v>432</v>
      </c>
      <c r="E670" t="s">
        <v>433</v>
      </c>
      <c r="F670" t="s">
        <v>193</v>
      </c>
      <c r="G670" t="s">
        <v>193</v>
      </c>
      <c r="H670" t="s">
        <v>193</v>
      </c>
      <c r="I670" t="s">
        <v>193</v>
      </c>
      <c r="J670" t="s">
        <v>193</v>
      </c>
      <c r="K670" t="s">
        <v>193</v>
      </c>
      <c r="L670" t="s">
        <v>193</v>
      </c>
      <c r="M670" t="s">
        <v>193</v>
      </c>
      <c r="N670" t="s">
        <v>193</v>
      </c>
      <c r="O670" t="s">
        <v>193</v>
      </c>
      <c r="P670" t="s">
        <v>193</v>
      </c>
    </row>
    <row r="671" spans="1:16" ht="12.75">
      <c r="A671" s="62" t="str">
        <f t="shared" si="10"/>
        <v>Korea, Dem. Rep._GDP per capita, PPP (current international $)</v>
      </c>
      <c r="B671" t="s">
        <v>485</v>
      </c>
      <c r="C671" t="s">
        <v>486</v>
      </c>
      <c r="D671" t="s">
        <v>434</v>
      </c>
      <c r="E671" t="s">
        <v>435</v>
      </c>
      <c r="F671" t="s">
        <v>193</v>
      </c>
      <c r="G671" t="s">
        <v>193</v>
      </c>
      <c r="H671" t="s">
        <v>193</v>
      </c>
      <c r="I671" t="s">
        <v>193</v>
      </c>
      <c r="J671" t="s">
        <v>193</v>
      </c>
      <c r="K671" t="s">
        <v>193</v>
      </c>
      <c r="L671" t="s">
        <v>193</v>
      </c>
      <c r="M671" t="s">
        <v>193</v>
      </c>
      <c r="N671" t="s">
        <v>193</v>
      </c>
      <c r="O671" t="s">
        <v>193</v>
      </c>
      <c r="P671" t="s">
        <v>193</v>
      </c>
    </row>
    <row r="672" spans="1:16" ht="12.75">
      <c r="A672" s="62" t="str">
        <f t="shared" si="10"/>
        <v>Korea, Dem. Rep._GDP per capita, PPP (constant 2000 international $)</v>
      </c>
      <c r="B672" t="s">
        <v>485</v>
      </c>
      <c r="C672" t="s">
        <v>486</v>
      </c>
      <c r="D672" t="s">
        <v>436</v>
      </c>
      <c r="E672" t="s">
        <v>437</v>
      </c>
      <c r="F672" t="s">
        <v>193</v>
      </c>
      <c r="G672" t="s">
        <v>193</v>
      </c>
      <c r="H672" t="s">
        <v>193</v>
      </c>
      <c r="I672" t="s">
        <v>193</v>
      </c>
      <c r="J672" t="s">
        <v>193</v>
      </c>
      <c r="K672" t="s">
        <v>193</v>
      </c>
      <c r="L672" t="s">
        <v>193</v>
      </c>
      <c r="M672" t="s">
        <v>193</v>
      </c>
      <c r="N672" t="s">
        <v>193</v>
      </c>
      <c r="O672" t="s">
        <v>193</v>
      </c>
      <c r="P672" t="s">
        <v>193</v>
      </c>
    </row>
    <row r="673" spans="1:16" ht="12.75">
      <c r="A673" s="62" t="str">
        <f t="shared" si="10"/>
        <v>Korea, Dem. Rep._GINI index</v>
      </c>
      <c r="B673" t="s">
        <v>485</v>
      </c>
      <c r="C673" t="s">
        <v>486</v>
      </c>
      <c r="D673" t="s">
        <v>438</v>
      </c>
      <c r="E673" t="s">
        <v>439</v>
      </c>
      <c r="F673" t="s">
        <v>193</v>
      </c>
      <c r="G673" t="s">
        <v>193</v>
      </c>
      <c r="H673" t="s">
        <v>193</v>
      </c>
      <c r="I673" t="s">
        <v>193</v>
      </c>
      <c r="J673" t="s">
        <v>193</v>
      </c>
      <c r="K673" t="s">
        <v>193</v>
      </c>
      <c r="L673" t="s">
        <v>193</v>
      </c>
      <c r="M673" t="s">
        <v>193</v>
      </c>
      <c r="N673" t="s">
        <v>193</v>
      </c>
      <c r="O673" t="s">
        <v>193</v>
      </c>
      <c r="P673" t="s">
        <v>193</v>
      </c>
    </row>
    <row r="674" spans="1:16" ht="12.75">
      <c r="A674" s="62" t="str">
        <f t="shared" si="10"/>
        <v>Korea, Rep._Poverty headcount ratio at national poverty line (% of population)</v>
      </c>
      <c r="B674" t="s">
        <v>487</v>
      </c>
      <c r="C674" t="s">
        <v>488</v>
      </c>
      <c r="D674" t="s">
        <v>408</v>
      </c>
      <c r="E674" t="s">
        <v>409</v>
      </c>
      <c r="F674" t="s">
        <v>193</v>
      </c>
      <c r="G674" t="s">
        <v>193</v>
      </c>
      <c r="H674" t="s">
        <v>193</v>
      </c>
      <c r="I674" t="s">
        <v>193</v>
      </c>
      <c r="J674" t="s">
        <v>193</v>
      </c>
      <c r="K674" t="s">
        <v>193</v>
      </c>
      <c r="L674" t="s">
        <v>193</v>
      </c>
      <c r="M674" t="s">
        <v>193</v>
      </c>
      <c r="N674" t="s">
        <v>193</v>
      </c>
      <c r="O674" t="s">
        <v>193</v>
      </c>
      <c r="P674" t="s">
        <v>193</v>
      </c>
    </row>
    <row r="675" spans="1:16" ht="12.75">
      <c r="A675" s="62" t="str">
        <f aca="true" t="shared" si="11" ref="A675:A738">C675&amp;"_"&amp;E675</f>
        <v>Korea, Rep._Poverty headcount ratio at $2 a day (PPP) (% of population)</v>
      </c>
      <c r="B675" t="s">
        <v>487</v>
      </c>
      <c r="C675" t="s">
        <v>488</v>
      </c>
      <c r="D675" t="s">
        <v>410</v>
      </c>
      <c r="E675" t="s">
        <v>411</v>
      </c>
      <c r="F675" t="s">
        <v>193</v>
      </c>
      <c r="G675" t="s">
        <v>193</v>
      </c>
      <c r="H675">
        <v>2</v>
      </c>
      <c r="I675" t="s">
        <v>193</v>
      </c>
      <c r="J675" t="s">
        <v>193</v>
      </c>
      <c r="K675" t="s">
        <v>193</v>
      </c>
      <c r="L675" t="s">
        <v>193</v>
      </c>
      <c r="M675" t="s">
        <v>193</v>
      </c>
      <c r="N675" t="s">
        <v>193</v>
      </c>
      <c r="O675" t="s">
        <v>193</v>
      </c>
      <c r="P675" t="s">
        <v>193</v>
      </c>
    </row>
    <row r="676" spans="1:16" ht="12.75">
      <c r="A676" s="62" t="str">
        <f t="shared" si="11"/>
        <v>Korea, Rep._Poverty headcount ratio at $1 a day (PPP) (% of population)</v>
      </c>
      <c r="B676" t="s">
        <v>487</v>
      </c>
      <c r="C676" t="s">
        <v>488</v>
      </c>
      <c r="D676" t="s">
        <v>412</v>
      </c>
      <c r="E676" t="s">
        <v>413</v>
      </c>
      <c r="F676" t="s">
        <v>193</v>
      </c>
      <c r="G676" t="s">
        <v>193</v>
      </c>
      <c r="H676">
        <v>2</v>
      </c>
      <c r="I676" t="s">
        <v>193</v>
      </c>
      <c r="J676" t="s">
        <v>193</v>
      </c>
      <c r="K676" t="s">
        <v>193</v>
      </c>
      <c r="L676" t="s">
        <v>193</v>
      </c>
      <c r="M676" t="s">
        <v>193</v>
      </c>
      <c r="N676" t="s">
        <v>193</v>
      </c>
      <c r="O676" t="s">
        <v>193</v>
      </c>
      <c r="P676" t="s">
        <v>193</v>
      </c>
    </row>
    <row r="677" spans="1:16" ht="12.75">
      <c r="A677" s="62" t="str">
        <f t="shared" si="11"/>
        <v>Korea, Rep._Poverty gap at $1 a day (PPP) (%)</v>
      </c>
      <c r="B677" t="s">
        <v>487</v>
      </c>
      <c r="C677" t="s">
        <v>488</v>
      </c>
      <c r="D677" t="s">
        <v>414</v>
      </c>
      <c r="E677" t="s">
        <v>415</v>
      </c>
      <c r="F677" t="s">
        <v>193</v>
      </c>
      <c r="G677" t="s">
        <v>193</v>
      </c>
      <c r="H677">
        <v>0.5</v>
      </c>
      <c r="I677" t="s">
        <v>193</v>
      </c>
      <c r="J677" t="s">
        <v>193</v>
      </c>
      <c r="K677" t="s">
        <v>193</v>
      </c>
      <c r="L677" t="s">
        <v>193</v>
      </c>
      <c r="M677" t="s">
        <v>193</v>
      </c>
      <c r="N677" t="s">
        <v>193</v>
      </c>
      <c r="O677" t="s">
        <v>193</v>
      </c>
      <c r="P677" t="s">
        <v>193</v>
      </c>
    </row>
    <row r="678" spans="1:16" ht="12.75">
      <c r="A678" s="62" t="str">
        <f t="shared" si="11"/>
        <v>Korea, Rep._Poverty gap at $2 a day (PPP) (%)</v>
      </c>
      <c r="B678" t="s">
        <v>487</v>
      </c>
      <c r="C678" t="s">
        <v>488</v>
      </c>
      <c r="D678" t="s">
        <v>416</v>
      </c>
      <c r="E678" t="s">
        <v>417</v>
      </c>
      <c r="F678" t="s">
        <v>193</v>
      </c>
      <c r="G678" t="s">
        <v>193</v>
      </c>
      <c r="H678">
        <v>0.5</v>
      </c>
      <c r="I678" t="s">
        <v>193</v>
      </c>
      <c r="J678" t="s">
        <v>193</v>
      </c>
      <c r="K678" t="s">
        <v>193</v>
      </c>
      <c r="L678" t="s">
        <v>193</v>
      </c>
      <c r="M678" t="s">
        <v>193</v>
      </c>
      <c r="N678" t="s">
        <v>193</v>
      </c>
      <c r="O678" t="s">
        <v>193</v>
      </c>
      <c r="P678" t="s">
        <v>193</v>
      </c>
    </row>
    <row r="679" spans="1:16" ht="12.75">
      <c r="A679" s="62" t="str">
        <f t="shared" si="11"/>
        <v>Korea, Rep._Population, total</v>
      </c>
      <c r="B679" t="s">
        <v>487</v>
      </c>
      <c r="C679" t="s">
        <v>488</v>
      </c>
      <c r="D679" t="s">
        <v>418</v>
      </c>
      <c r="E679" t="s">
        <v>419</v>
      </c>
      <c r="F679">
        <v>45525000</v>
      </c>
      <c r="G679">
        <v>45954000</v>
      </c>
      <c r="H679">
        <v>46287000</v>
      </c>
      <c r="I679">
        <v>46617000</v>
      </c>
      <c r="J679">
        <v>47008111</v>
      </c>
      <c r="K679">
        <v>47353519</v>
      </c>
      <c r="L679">
        <v>47615132</v>
      </c>
      <c r="M679">
        <v>47849227</v>
      </c>
      <c r="N679">
        <v>48082163</v>
      </c>
      <c r="O679">
        <v>48294143</v>
      </c>
      <c r="P679">
        <v>48418076.6819144</v>
      </c>
    </row>
    <row r="680" spans="1:16" ht="12.75">
      <c r="A680" s="62" t="str">
        <f t="shared" si="11"/>
        <v>Korea, Rep._Public spending on education, total (% of GDP)</v>
      </c>
      <c r="B680" t="s">
        <v>487</v>
      </c>
      <c r="C680" t="s">
        <v>488</v>
      </c>
      <c r="D680" t="s">
        <v>420</v>
      </c>
      <c r="E680" t="s">
        <v>421</v>
      </c>
      <c r="F680" t="s">
        <v>193</v>
      </c>
      <c r="G680" t="s">
        <v>193</v>
      </c>
      <c r="H680" t="s">
        <v>193</v>
      </c>
      <c r="I680">
        <v>3.76350859525329</v>
      </c>
      <c r="J680" t="s">
        <v>193</v>
      </c>
      <c r="K680">
        <v>4.31117283539308</v>
      </c>
      <c r="L680">
        <v>4.22314572997298</v>
      </c>
      <c r="M680">
        <v>4.62418810262692</v>
      </c>
      <c r="N680">
        <v>4.63119198521784</v>
      </c>
      <c r="O680" t="s">
        <v>193</v>
      </c>
      <c r="P680" t="s">
        <v>193</v>
      </c>
    </row>
    <row r="681" spans="1:16" ht="12.75">
      <c r="A681" s="62" t="str">
        <f t="shared" si="11"/>
        <v>Korea, Rep._Public spending on education, total (% of government expenditure)</v>
      </c>
      <c r="B681" t="s">
        <v>487</v>
      </c>
      <c r="C681" t="s">
        <v>488</v>
      </c>
      <c r="D681" t="s">
        <v>422</v>
      </c>
      <c r="E681" t="s">
        <v>423</v>
      </c>
      <c r="F681" t="s">
        <v>193</v>
      </c>
      <c r="G681" t="s">
        <v>193</v>
      </c>
      <c r="H681" t="s">
        <v>193</v>
      </c>
      <c r="I681">
        <v>13.1237285511824</v>
      </c>
      <c r="J681" t="s">
        <v>193</v>
      </c>
      <c r="K681">
        <v>14.7188616323968</v>
      </c>
      <c r="L681">
        <v>15.4783993332448</v>
      </c>
      <c r="M681">
        <v>14.9834535126263</v>
      </c>
      <c r="N681">
        <v>16.4791486430893</v>
      </c>
      <c r="O681" t="s">
        <v>193</v>
      </c>
      <c r="P681" t="s">
        <v>193</v>
      </c>
    </row>
    <row r="682" spans="1:16" ht="12.75">
      <c r="A682" s="62" t="str">
        <f t="shared" si="11"/>
        <v>Korea, Rep._Health expenditure, public (% of total health expenditure)</v>
      </c>
      <c r="B682" t="s">
        <v>487</v>
      </c>
      <c r="C682" t="s">
        <v>488</v>
      </c>
      <c r="D682" t="s">
        <v>424</v>
      </c>
      <c r="E682" t="s">
        <v>425</v>
      </c>
      <c r="F682" t="s">
        <v>193</v>
      </c>
      <c r="G682" t="s">
        <v>193</v>
      </c>
      <c r="H682" t="s">
        <v>193</v>
      </c>
      <c r="I682" t="s">
        <v>193</v>
      </c>
      <c r="J682">
        <v>46.2</v>
      </c>
      <c r="K682">
        <v>51.9</v>
      </c>
      <c r="L682">
        <v>50.6</v>
      </c>
      <c r="M682">
        <v>50.7</v>
      </c>
      <c r="N682">
        <v>51.4</v>
      </c>
      <c r="O682" t="s">
        <v>193</v>
      </c>
      <c r="P682" t="s">
        <v>193</v>
      </c>
    </row>
    <row r="683" spans="1:16" ht="12.75">
      <c r="A683" s="62" t="str">
        <f t="shared" si="11"/>
        <v>Korea, Rep._Health expenditure, public (% of GDP)</v>
      </c>
      <c r="B683" t="s">
        <v>487</v>
      </c>
      <c r="C683" t="s">
        <v>488</v>
      </c>
      <c r="D683" t="s">
        <v>426</v>
      </c>
      <c r="E683" t="s">
        <v>427</v>
      </c>
      <c r="F683" t="s">
        <v>193</v>
      </c>
      <c r="G683" t="s">
        <v>193</v>
      </c>
      <c r="H683" t="s">
        <v>193</v>
      </c>
      <c r="I683" t="s">
        <v>193</v>
      </c>
      <c r="J683">
        <v>2.2176</v>
      </c>
      <c r="K683">
        <v>2.8026</v>
      </c>
      <c r="L683">
        <v>2.6818</v>
      </c>
      <c r="M683">
        <v>2.7885</v>
      </c>
      <c r="N683">
        <v>2.8784</v>
      </c>
      <c r="O683" t="s">
        <v>193</v>
      </c>
      <c r="P683" t="s">
        <v>193</v>
      </c>
    </row>
    <row r="684" spans="1:16" ht="12.75">
      <c r="A684" s="62" t="str">
        <f t="shared" si="11"/>
        <v>Korea, Rep._Health expenditure, total (% of GDP)</v>
      </c>
      <c r="B684" t="s">
        <v>487</v>
      </c>
      <c r="C684" t="s">
        <v>488</v>
      </c>
      <c r="D684" t="s">
        <v>428</v>
      </c>
      <c r="E684" t="s">
        <v>429</v>
      </c>
      <c r="F684" t="s">
        <v>193</v>
      </c>
      <c r="G684" t="s">
        <v>193</v>
      </c>
      <c r="H684" t="s">
        <v>193</v>
      </c>
      <c r="I684" t="s">
        <v>193</v>
      </c>
      <c r="J684">
        <v>4.8</v>
      </c>
      <c r="K684">
        <v>5.4</v>
      </c>
      <c r="L684">
        <v>5.3</v>
      </c>
      <c r="M684">
        <v>5.5</v>
      </c>
      <c r="N684">
        <v>5.6</v>
      </c>
      <c r="O684" t="s">
        <v>193</v>
      </c>
      <c r="P684" t="s">
        <v>193</v>
      </c>
    </row>
    <row r="685" spans="1:16" ht="12.75">
      <c r="A685" s="62" t="str">
        <f t="shared" si="11"/>
        <v>Korea, Rep._GDP (current LCU)</v>
      </c>
      <c r="B685" t="s">
        <v>487</v>
      </c>
      <c r="C685" t="s">
        <v>488</v>
      </c>
      <c r="D685" t="s">
        <v>430</v>
      </c>
      <c r="E685" t="s">
        <v>431</v>
      </c>
      <c r="F685">
        <v>448596784709632</v>
      </c>
      <c r="G685">
        <v>491134610571264</v>
      </c>
      <c r="H685">
        <v>484102809583616</v>
      </c>
      <c r="I685">
        <v>529499305279488</v>
      </c>
      <c r="J685">
        <v>578664232124416</v>
      </c>
      <c r="K685">
        <v>622122321838080</v>
      </c>
      <c r="L685">
        <v>684263116636160</v>
      </c>
      <c r="M685">
        <v>724675000795136</v>
      </c>
      <c r="N685">
        <v>779380670332928</v>
      </c>
      <c r="O685">
        <v>810516096221184</v>
      </c>
      <c r="P685">
        <v>847876607442944</v>
      </c>
    </row>
    <row r="686" spans="1:16" ht="12.75">
      <c r="A686" s="62" t="str">
        <f t="shared" si="11"/>
        <v>Korea, Rep._GDP (current US$)</v>
      </c>
      <c r="B686" t="s">
        <v>487</v>
      </c>
      <c r="C686" t="s">
        <v>488</v>
      </c>
      <c r="D686" t="s">
        <v>432</v>
      </c>
      <c r="E686" t="s">
        <v>433</v>
      </c>
      <c r="F686">
        <v>557644120064</v>
      </c>
      <c r="G686">
        <v>516282744832</v>
      </c>
      <c r="H686">
        <v>345432424448</v>
      </c>
      <c r="I686">
        <v>445399040000</v>
      </c>
      <c r="J686">
        <v>511657541632</v>
      </c>
      <c r="K686">
        <v>481895514112</v>
      </c>
      <c r="L686">
        <v>546933538816</v>
      </c>
      <c r="M686">
        <v>608147800064</v>
      </c>
      <c r="N686">
        <v>680491679744</v>
      </c>
      <c r="O686">
        <v>791426891776</v>
      </c>
      <c r="P686">
        <v>888024203264</v>
      </c>
    </row>
    <row r="687" spans="1:16" ht="12.75">
      <c r="A687" s="62" t="str">
        <f t="shared" si="11"/>
        <v>Korea, Rep._GDP per capita, PPP (current international $)</v>
      </c>
      <c r="B687" t="s">
        <v>487</v>
      </c>
      <c r="C687" t="s">
        <v>488</v>
      </c>
      <c r="D687" t="s">
        <v>434</v>
      </c>
      <c r="E687" t="s">
        <v>435</v>
      </c>
      <c r="F687">
        <v>13515.9857256468</v>
      </c>
      <c r="G687">
        <v>14246.6190669912</v>
      </c>
      <c r="H687">
        <v>13320.9993601261</v>
      </c>
      <c r="I687">
        <v>14690.6795270813</v>
      </c>
      <c r="J687">
        <v>16149.2775342726</v>
      </c>
      <c r="K687">
        <v>17047.5323112305</v>
      </c>
      <c r="L687">
        <v>18452.9889553067</v>
      </c>
      <c r="M687">
        <v>19316.7319638154</v>
      </c>
      <c r="N687">
        <v>20660.5867635345</v>
      </c>
      <c r="O687">
        <v>22079.8775105313</v>
      </c>
      <c r="P687">
        <v>23800.1180509935</v>
      </c>
    </row>
    <row r="688" spans="1:16" ht="12.75">
      <c r="A688" s="62" t="str">
        <f t="shared" si="11"/>
        <v>Korea, Rep._GDP per capita, PPP (constant 2000 international $)</v>
      </c>
      <c r="B688" t="s">
        <v>487</v>
      </c>
      <c r="C688" t="s">
        <v>488</v>
      </c>
      <c r="D688" t="s">
        <v>436</v>
      </c>
      <c r="E688" t="s">
        <v>437</v>
      </c>
      <c r="F688">
        <v>14402.4481310942</v>
      </c>
      <c r="G688">
        <v>14931.5906714065</v>
      </c>
      <c r="H688">
        <v>13808.0547598093</v>
      </c>
      <c r="I688">
        <v>15010.9150877862</v>
      </c>
      <c r="J688">
        <v>16149.2775342726</v>
      </c>
      <c r="K688">
        <v>16646.5489231957</v>
      </c>
      <c r="L688">
        <v>17709.0296703512</v>
      </c>
      <c r="M688">
        <v>18168.1845441328</v>
      </c>
      <c r="N688">
        <v>18935.2752474039</v>
      </c>
      <c r="O688">
        <v>19643.5078651971</v>
      </c>
      <c r="P688">
        <v>20571.5668451788</v>
      </c>
    </row>
    <row r="689" spans="1:16" ht="12.75">
      <c r="A689" s="62" t="str">
        <f t="shared" si="11"/>
        <v>Korea, Rep._GINI index</v>
      </c>
      <c r="B689" t="s">
        <v>487</v>
      </c>
      <c r="C689" t="s">
        <v>488</v>
      </c>
      <c r="D689" t="s">
        <v>438</v>
      </c>
      <c r="E689" t="s">
        <v>439</v>
      </c>
      <c r="F689" t="s">
        <v>193</v>
      </c>
      <c r="G689" t="s">
        <v>193</v>
      </c>
      <c r="H689">
        <v>31.59</v>
      </c>
      <c r="I689" t="s">
        <v>193</v>
      </c>
      <c r="J689" t="s">
        <v>193</v>
      </c>
      <c r="K689" t="s">
        <v>193</v>
      </c>
      <c r="L689" t="s">
        <v>193</v>
      </c>
      <c r="M689" t="s">
        <v>193</v>
      </c>
      <c r="N689" t="s">
        <v>193</v>
      </c>
      <c r="O689" t="s">
        <v>193</v>
      </c>
      <c r="P689" t="s">
        <v>193</v>
      </c>
    </row>
    <row r="690" spans="1:16" ht="12.75">
      <c r="A690" s="62" t="str">
        <f t="shared" si="11"/>
        <v>Kuwait_Poverty headcount ratio at national poverty line (% of population)</v>
      </c>
      <c r="B690" t="s">
        <v>489</v>
      </c>
      <c r="C690" t="s">
        <v>200</v>
      </c>
      <c r="D690" t="s">
        <v>408</v>
      </c>
      <c r="E690" t="s">
        <v>409</v>
      </c>
      <c r="F690" t="s">
        <v>193</v>
      </c>
      <c r="G690" t="s">
        <v>193</v>
      </c>
      <c r="H690" t="s">
        <v>193</v>
      </c>
      <c r="I690" t="s">
        <v>193</v>
      </c>
      <c r="J690" t="s">
        <v>193</v>
      </c>
      <c r="K690" t="s">
        <v>193</v>
      </c>
      <c r="L690" t="s">
        <v>193</v>
      </c>
      <c r="M690" t="s">
        <v>193</v>
      </c>
      <c r="N690" t="s">
        <v>193</v>
      </c>
      <c r="O690" t="s">
        <v>193</v>
      </c>
      <c r="P690" t="s">
        <v>193</v>
      </c>
    </row>
    <row r="691" spans="1:16" ht="12.75">
      <c r="A691" s="62" t="str">
        <f t="shared" si="11"/>
        <v>Kuwait_Poverty headcount ratio at $2 a day (PPP) (% of population)</v>
      </c>
      <c r="B691" t="s">
        <v>489</v>
      </c>
      <c r="C691" t="s">
        <v>200</v>
      </c>
      <c r="D691" t="s">
        <v>410</v>
      </c>
      <c r="E691" t="s">
        <v>411</v>
      </c>
      <c r="F691" t="s">
        <v>193</v>
      </c>
      <c r="G691" t="s">
        <v>193</v>
      </c>
      <c r="H691" t="s">
        <v>193</v>
      </c>
      <c r="I691" t="s">
        <v>193</v>
      </c>
      <c r="J691" t="s">
        <v>193</v>
      </c>
      <c r="K691" t="s">
        <v>193</v>
      </c>
      <c r="L691" t="s">
        <v>193</v>
      </c>
      <c r="M691" t="s">
        <v>193</v>
      </c>
      <c r="N691" t="s">
        <v>193</v>
      </c>
      <c r="O691" t="s">
        <v>193</v>
      </c>
      <c r="P691" t="s">
        <v>193</v>
      </c>
    </row>
    <row r="692" spans="1:16" ht="12.75">
      <c r="A692" s="62" t="str">
        <f t="shared" si="11"/>
        <v>Kuwait_Poverty headcount ratio at $1 a day (PPP) (% of population)</v>
      </c>
      <c r="B692" t="s">
        <v>489</v>
      </c>
      <c r="C692" t="s">
        <v>200</v>
      </c>
      <c r="D692" t="s">
        <v>412</v>
      </c>
      <c r="E692" t="s">
        <v>413</v>
      </c>
      <c r="F692" t="s">
        <v>193</v>
      </c>
      <c r="G692" t="s">
        <v>193</v>
      </c>
      <c r="H692" t="s">
        <v>193</v>
      </c>
      <c r="I692" t="s">
        <v>193</v>
      </c>
      <c r="J692" t="s">
        <v>193</v>
      </c>
      <c r="K692" t="s">
        <v>193</v>
      </c>
      <c r="L692" t="s">
        <v>193</v>
      </c>
      <c r="M692" t="s">
        <v>193</v>
      </c>
      <c r="N692" t="s">
        <v>193</v>
      </c>
      <c r="O692" t="s">
        <v>193</v>
      </c>
      <c r="P692" t="s">
        <v>193</v>
      </c>
    </row>
    <row r="693" spans="1:16" ht="12.75">
      <c r="A693" s="62" t="str">
        <f t="shared" si="11"/>
        <v>Kuwait_Poverty gap at $1 a day (PPP) (%)</v>
      </c>
      <c r="B693" t="s">
        <v>489</v>
      </c>
      <c r="C693" t="s">
        <v>200</v>
      </c>
      <c r="D693" t="s">
        <v>414</v>
      </c>
      <c r="E693" t="s">
        <v>415</v>
      </c>
      <c r="F693" t="s">
        <v>193</v>
      </c>
      <c r="G693" t="s">
        <v>193</v>
      </c>
      <c r="H693" t="s">
        <v>193</v>
      </c>
      <c r="I693" t="s">
        <v>193</v>
      </c>
      <c r="J693" t="s">
        <v>193</v>
      </c>
      <c r="K693" t="s">
        <v>193</v>
      </c>
      <c r="L693" t="s">
        <v>193</v>
      </c>
      <c r="M693" t="s">
        <v>193</v>
      </c>
      <c r="N693" t="s">
        <v>193</v>
      </c>
      <c r="O693" t="s">
        <v>193</v>
      </c>
      <c r="P693" t="s">
        <v>193</v>
      </c>
    </row>
    <row r="694" spans="1:16" ht="12.75">
      <c r="A694" s="62" t="str">
        <f t="shared" si="11"/>
        <v>Kuwait_Poverty gap at $2 a day (PPP) (%)</v>
      </c>
      <c r="B694" t="s">
        <v>489</v>
      </c>
      <c r="C694" t="s">
        <v>200</v>
      </c>
      <c r="D694" t="s">
        <v>416</v>
      </c>
      <c r="E694" t="s">
        <v>417</v>
      </c>
      <c r="F694" t="s">
        <v>193</v>
      </c>
      <c r="G694" t="s">
        <v>193</v>
      </c>
      <c r="H694" t="s">
        <v>193</v>
      </c>
      <c r="I694" t="s">
        <v>193</v>
      </c>
      <c r="J694" t="s">
        <v>193</v>
      </c>
      <c r="K694" t="s">
        <v>193</v>
      </c>
      <c r="L694" t="s">
        <v>193</v>
      </c>
      <c r="M694" t="s">
        <v>193</v>
      </c>
      <c r="N694" t="s">
        <v>193</v>
      </c>
      <c r="O694" t="s">
        <v>193</v>
      </c>
      <c r="P694" t="s">
        <v>193</v>
      </c>
    </row>
    <row r="695" spans="1:16" ht="12.75">
      <c r="A695" s="62" t="str">
        <f t="shared" si="11"/>
        <v>Kuwait_Population, total</v>
      </c>
      <c r="B695" t="s">
        <v>489</v>
      </c>
      <c r="C695" t="s">
        <v>200</v>
      </c>
      <c r="D695" t="s">
        <v>418</v>
      </c>
      <c r="E695" t="s">
        <v>419</v>
      </c>
      <c r="F695">
        <v>1894000</v>
      </c>
      <c r="G695">
        <v>1980000</v>
      </c>
      <c r="H695">
        <v>2027000</v>
      </c>
      <c r="I695">
        <v>2107000</v>
      </c>
      <c r="J695">
        <v>2190000</v>
      </c>
      <c r="K695">
        <v>2275000</v>
      </c>
      <c r="L695">
        <v>2334919.26169103</v>
      </c>
      <c r="M695">
        <v>2396416.68510585</v>
      </c>
      <c r="N695">
        <v>2459533.83608414</v>
      </c>
      <c r="O695">
        <v>2535446.05575406</v>
      </c>
      <c r="P695">
        <v>2599443.52842239</v>
      </c>
    </row>
    <row r="696" spans="1:16" ht="12.75">
      <c r="A696" s="62" t="str">
        <f t="shared" si="11"/>
        <v>Kuwait_Public spending on education, total (% of GDP)</v>
      </c>
      <c r="B696" t="s">
        <v>489</v>
      </c>
      <c r="C696" t="s">
        <v>200</v>
      </c>
      <c r="D696" t="s">
        <v>420</v>
      </c>
      <c r="E696" t="s">
        <v>421</v>
      </c>
      <c r="F696" t="s">
        <v>193</v>
      </c>
      <c r="G696" t="s">
        <v>193</v>
      </c>
      <c r="H696" t="s">
        <v>193</v>
      </c>
      <c r="I696" t="s">
        <v>193</v>
      </c>
      <c r="J696" t="s">
        <v>193</v>
      </c>
      <c r="K696">
        <v>6.58599834425305</v>
      </c>
      <c r="L696">
        <v>6.5505001491599</v>
      </c>
      <c r="M696">
        <v>6.5403536529928</v>
      </c>
      <c r="N696">
        <v>5.73576430394475</v>
      </c>
      <c r="O696">
        <v>5.05481128465479</v>
      </c>
      <c r="P696" t="s">
        <v>193</v>
      </c>
    </row>
    <row r="697" spans="1:16" ht="12.75">
      <c r="A697" s="62" t="str">
        <f t="shared" si="11"/>
        <v>Kuwait_Public spending on education, total (% of government expenditure)</v>
      </c>
      <c r="B697" t="s">
        <v>489</v>
      </c>
      <c r="C697" t="s">
        <v>200</v>
      </c>
      <c r="D697" t="s">
        <v>422</v>
      </c>
      <c r="E697" t="s">
        <v>423</v>
      </c>
      <c r="F697" t="s">
        <v>193</v>
      </c>
      <c r="G697" t="s">
        <v>193</v>
      </c>
      <c r="H697" t="s">
        <v>193</v>
      </c>
      <c r="I697" t="s">
        <v>193</v>
      </c>
      <c r="J697" t="s">
        <v>193</v>
      </c>
      <c r="K697" t="s">
        <v>193</v>
      </c>
      <c r="L697">
        <v>14.7678127501791</v>
      </c>
      <c r="M697" t="s">
        <v>193</v>
      </c>
      <c r="N697">
        <v>13.5594093406593</v>
      </c>
      <c r="O697">
        <v>12.6988984088127</v>
      </c>
      <c r="P697" t="s">
        <v>193</v>
      </c>
    </row>
    <row r="698" spans="1:16" ht="12.75">
      <c r="A698" s="62" t="str">
        <f t="shared" si="11"/>
        <v>Kuwait_Health expenditure, public (% of total health expenditure)</v>
      </c>
      <c r="B698" t="s">
        <v>489</v>
      </c>
      <c r="C698" t="s">
        <v>200</v>
      </c>
      <c r="D698" t="s">
        <v>424</v>
      </c>
      <c r="E698" t="s">
        <v>425</v>
      </c>
      <c r="F698" t="s">
        <v>193</v>
      </c>
      <c r="G698" t="s">
        <v>193</v>
      </c>
      <c r="H698" t="s">
        <v>193</v>
      </c>
      <c r="I698" t="s">
        <v>193</v>
      </c>
      <c r="J698">
        <v>78.2</v>
      </c>
      <c r="K698">
        <v>77.7</v>
      </c>
      <c r="L698">
        <v>78.1</v>
      </c>
      <c r="M698">
        <v>77.2</v>
      </c>
      <c r="N698">
        <v>77.6</v>
      </c>
      <c r="O698" t="s">
        <v>193</v>
      </c>
      <c r="P698" t="s">
        <v>193</v>
      </c>
    </row>
    <row r="699" spans="1:16" ht="12.75">
      <c r="A699" s="62" t="str">
        <f t="shared" si="11"/>
        <v>Kuwait_Health expenditure, public (% of GDP)</v>
      </c>
      <c r="B699" t="s">
        <v>489</v>
      </c>
      <c r="C699" t="s">
        <v>200</v>
      </c>
      <c r="D699" t="s">
        <v>426</v>
      </c>
      <c r="E699" t="s">
        <v>427</v>
      </c>
      <c r="F699" t="s">
        <v>193</v>
      </c>
      <c r="G699" t="s">
        <v>193</v>
      </c>
      <c r="H699" t="s">
        <v>193</v>
      </c>
      <c r="I699" t="s">
        <v>193</v>
      </c>
      <c r="J699">
        <v>2.4242</v>
      </c>
      <c r="K699">
        <v>2.7195</v>
      </c>
      <c r="L699">
        <v>2.8116</v>
      </c>
      <c r="M699">
        <v>2.3932</v>
      </c>
      <c r="N699">
        <v>2.1728</v>
      </c>
      <c r="O699" t="s">
        <v>193</v>
      </c>
      <c r="P699" t="s">
        <v>193</v>
      </c>
    </row>
    <row r="700" spans="1:16" ht="12.75">
      <c r="A700" s="62" t="str">
        <f t="shared" si="11"/>
        <v>Kuwait_Health expenditure, total (% of GDP)</v>
      </c>
      <c r="B700" t="s">
        <v>489</v>
      </c>
      <c r="C700" t="s">
        <v>200</v>
      </c>
      <c r="D700" t="s">
        <v>428</v>
      </c>
      <c r="E700" t="s">
        <v>429</v>
      </c>
      <c r="F700" t="s">
        <v>193</v>
      </c>
      <c r="G700" t="s">
        <v>193</v>
      </c>
      <c r="H700" t="s">
        <v>193</v>
      </c>
      <c r="I700" t="s">
        <v>193</v>
      </c>
      <c r="J700">
        <v>3.1</v>
      </c>
      <c r="K700">
        <v>3.5</v>
      </c>
      <c r="L700">
        <v>3.6</v>
      </c>
      <c r="M700">
        <v>3.1</v>
      </c>
      <c r="N700">
        <v>2.8</v>
      </c>
      <c r="O700" t="s">
        <v>193</v>
      </c>
      <c r="P700" t="s">
        <v>193</v>
      </c>
    </row>
    <row r="701" spans="1:16" ht="12.75">
      <c r="A701" s="62" t="str">
        <f t="shared" si="11"/>
        <v>Kuwait_GDP (current LCU)</v>
      </c>
      <c r="B701" t="s">
        <v>489</v>
      </c>
      <c r="C701" t="s">
        <v>200</v>
      </c>
      <c r="D701" t="s">
        <v>430</v>
      </c>
      <c r="E701" t="s">
        <v>431</v>
      </c>
      <c r="F701">
        <v>9429300224</v>
      </c>
      <c r="G701">
        <v>9206500352</v>
      </c>
      <c r="H701">
        <v>7907100160</v>
      </c>
      <c r="I701">
        <v>9169099776</v>
      </c>
      <c r="J701">
        <v>11569999872</v>
      </c>
      <c r="K701">
        <v>10700999680</v>
      </c>
      <c r="L701">
        <v>11585000448</v>
      </c>
      <c r="M701">
        <v>14254000128</v>
      </c>
      <c r="N701">
        <v>17465999360</v>
      </c>
      <c r="O701">
        <v>23587999744</v>
      </c>
      <c r="P701" t="s">
        <v>193</v>
      </c>
    </row>
    <row r="702" spans="1:16" ht="12.75">
      <c r="A702" s="62" t="str">
        <f t="shared" si="11"/>
        <v>Kuwait_GDP (current US$)</v>
      </c>
      <c r="B702" t="s">
        <v>489</v>
      </c>
      <c r="C702" t="s">
        <v>200</v>
      </c>
      <c r="D702" t="s">
        <v>432</v>
      </c>
      <c r="E702" t="s">
        <v>433</v>
      </c>
      <c r="F702">
        <v>31492937728</v>
      </c>
      <c r="G702">
        <v>30350432256</v>
      </c>
      <c r="H702">
        <v>25946185728</v>
      </c>
      <c r="I702">
        <v>30120888320</v>
      </c>
      <c r="J702">
        <v>37718011904</v>
      </c>
      <c r="K702">
        <v>34890772480</v>
      </c>
      <c r="L702">
        <v>38122348544</v>
      </c>
      <c r="M702">
        <v>47832211456</v>
      </c>
      <c r="N702">
        <v>59267452928</v>
      </c>
      <c r="O702">
        <v>80780820480</v>
      </c>
      <c r="P702" t="s">
        <v>193</v>
      </c>
    </row>
    <row r="703" spans="1:16" ht="12.75">
      <c r="A703" s="62" t="str">
        <f t="shared" si="11"/>
        <v>Kuwait_GDP per capita, PPP (current international $)</v>
      </c>
      <c r="B703" t="s">
        <v>489</v>
      </c>
      <c r="C703" t="s">
        <v>200</v>
      </c>
      <c r="D703" t="s">
        <v>434</v>
      </c>
      <c r="E703" t="s">
        <v>435</v>
      </c>
      <c r="F703">
        <v>19470.8382012693</v>
      </c>
      <c r="G703">
        <v>19404.5964633107</v>
      </c>
      <c r="H703">
        <v>19867.0974154169</v>
      </c>
      <c r="I703">
        <v>19042.0693938739</v>
      </c>
      <c r="J703">
        <v>19598.5554401313</v>
      </c>
      <c r="K703">
        <v>19461.6072762015</v>
      </c>
      <c r="L703">
        <v>20280.1042112489</v>
      </c>
      <c r="M703">
        <v>22861.4616180329</v>
      </c>
      <c r="N703">
        <v>24275.1663814651</v>
      </c>
      <c r="O703">
        <v>26320.6713634116</v>
      </c>
      <c r="P703" t="s">
        <v>193</v>
      </c>
    </row>
    <row r="704" spans="1:16" ht="12.75">
      <c r="A704" s="62" t="str">
        <f t="shared" si="11"/>
        <v>Kuwait_GDP per capita, PPP (constant 2000 international $)</v>
      </c>
      <c r="B704" t="s">
        <v>489</v>
      </c>
      <c r="C704" t="s">
        <v>200</v>
      </c>
      <c r="D704" t="s">
        <v>436</v>
      </c>
      <c r="E704" t="s">
        <v>437</v>
      </c>
      <c r="F704">
        <v>20747.8568677824</v>
      </c>
      <c r="G704">
        <v>20337.5615064557</v>
      </c>
      <c r="H704">
        <v>20593.4976509109</v>
      </c>
      <c r="I704">
        <v>19457.1589585253</v>
      </c>
      <c r="J704">
        <v>19598.5554401313</v>
      </c>
      <c r="K704">
        <v>19003.8412441599</v>
      </c>
      <c r="L704">
        <v>19462.4820978684</v>
      </c>
      <c r="M704">
        <v>21502.1492456942</v>
      </c>
      <c r="N704">
        <v>22248.0107835491</v>
      </c>
      <c r="O704">
        <v>23416.357934859</v>
      </c>
      <c r="P704" t="s">
        <v>193</v>
      </c>
    </row>
    <row r="705" spans="1:16" ht="12.75">
      <c r="A705" s="62" t="str">
        <f t="shared" si="11"/>
        <v>Kuwait_GINI index</v>
      </c>
      <c r="B705" t="s">
        <v>489</v>
      </c>
      <c r="C705" t="s">
        <v>200</v>
      </c>
      <c r="D705" t="s">
        <v>438</v>
      </c>
      <c r="E705" t="s">
        <v>439</v>
      </c>
      <c r="F705" t="s">
        <v>193</v>
      </c>
      <c r="G705" t="s">
        <v>193</v>
      </c>
      <c r="H705" t="s">
        <v>193</v>
      </c>
      <c r="I705" t="s">
        <v>193</v>
      </c>
      <c r="J705" t="s">
        <v>193</v>
      </c>
      <c r="K705" t="s">
        <v>193</v>
      </c>
      <c r="L705" t="s">
        <v>193</v>
      </c>
      <c r="M705" t="s">
        <v>193</v>
      </c>
      <c r="N705" t="s">
        <v>193</v>
      </c>
      <c r="O705" t="s">
        <v>193</v>
      </c>
      <c r="P705" t="s">
        <v>193</v>
      </c>
    </row>
    <row r="706" spans="1:16" ht="12.75">
      <c r="A706" s="62" t="str">
        <f t="shared" si="11"/>
        <v>Kyrgyz Republic_Poverty headcount ratio at national poverty line (% of population)</v>
      </c>
      <c r="B706" t="s">
        <v>490</v>
      </c>
      <c r="C706" t="s">
        <v>215</v>
      </c>
      <c r="D706" t="s">
        <v>408</v>
      </c>
      <c r="E706" t="s">
        <v>409</v>
      </c>
      <c r="F706" t="s">
        <v>193</v>
      </c>
      <c r="G706" t="s">
        <v>193</v>
      </c>
      <c r="H706" t="s">
        <v>193</v>
      </c>
      <c r="I706" t="s">
        <v>193</v>
      </c>
      <c r="J706" t="s">
        <v>193</v>
      </c>
      <c r="K706">
        <v>47.6</v>
      </c>
      <c r="L706" t="s">
        <v>193</v>
      </c>
      <c r="M706">
        <v>41</v>
      </c>
      <c r="N706" t="s">
        <v>193</v>
      </c>
      <c r="O706" t="s">
        <v>193</v>
      </c>
      <c r="P706" t="s">
        <v>193</v>
      </c>
    </row>
    <row r="707" spans="1:16" ht="12.75">
      <c r="A707" s="62" t="str">
        <f t="shared" si="11"/>
        <v>Kyrgyz Republic_Poverty headcount ratio at $2 a day (PPP) (% of population)</v>
      </c>
      <c r="B707" t="s">
        <v>490</v>
      </c>
      <c r="C707" t="s">
        <v>215</v>
      </c>
      <c r="D707" t="s">
        <v>410</v>
      </c>
      <c r="E707" t="s">
        <v>411</v>
      </c>
      <c r="F707" t="s">
        <v>193</v>
      </c>
      <c r="G707">
        <v>17.89</v>
      </c>
      <c r="H707" t="s">
        <v>193</v>
      </c>
      <c r="I707">
        <v>12.27</v>
      </c>
      <c r="J707" t="s">
        <v>193</v>
      </c>
      <c r="K707">
        <v>27.17</v>
      </c>
      <c r="L707" t="s">
        <v>193</v>
      </c>
      <c r="M707">
        <v>21.4</v>
      </c>
      <c r="N707" t="s">
        <v>193</v>
      </c>
      <c r="O707" t="s">
        <v>193</v>
      </c>
      <c r="P707" t="s">
        <v>193</v>
      </c>
    </row>
    <row r="708" spans="1:16" ht="12.75">
      <c r="A708" s="62" t="str">
        <f t="shared" si="11"/>
        <v>Kyrgyz Republic_Poverty headcount ratio at $1 a day (PPP) (% of population)</v>
      </c>
      <c r="B708" t="s">
        <v>490</v>
      </c>
      <c r="C708" t="s">
        <v>215</v>
      </c>
      <c r="D708" t="s">
        <v>412</v>
      </c>
      <c r="E708" t="s">
        <v>413</v>
      </c>
      <c r="F708" t="s">
        <v>193</v>
      </c>
      <c r="G708">
        <v>2</v>
      </c>
      <c r="H708" t="s">
        <v>193</v>
      </c>
      <c r="I708">
        <v>2</v>
      </c>
      <c r="J708" t="s">
        <v>193</v>
      </c>
      <c r="K708">
        <v>2</v>
      </c>
      <c r="L708" t="s">
        <v>193</v>
      </c>
      <c r="M708">
        <v>2</v>
      </c>
      <c r="N708" t="s">
        <v>193</v>
      </c>
      <c r="O708" t="s">
        <v>193</v>
      </c>
      <c r="P708" t="s">
        <v>193</v>
      </c>
    </row>
    <row r="709" spans="1:16" ht="12.75">
      <c r="A709" s="62" t="str">
        <f t="shared" si="11"/>
        <v>Kyrgyz Republic_Poverty gap at $1 a day (PPP) (%)</v>
      </c>
      <c r="B709" t="s">
        <v>490</v>
      </c>
      <c r="C709" t="s">
        <v>215</v>
      </c>
      <c r="D709" t="s">
        <v>414</v>
      </c>
      <c r="E709" t="s">
        <v>415</v>
      </c>
      <c r="F709" t="s">
        <v>193</v>
      </c>
      <c r="G709">
        <v>0.29</v>
      </c>
      <c r="H709" t="s">
        <v>193</v>
      </c>
      <c r="I709">
        <v>0.5</v>
      </c>
      <c r="J709" t="s">
        <v>193</v>
      </c>
      <c r="K709">
        <v>0.5</v>
      </c>
      <c r="L709" t="s">
        <v>193</v>
      </c>
      <c r="M709">
        <v>0.5</v>
      </c>
      <c r="N709" t="s">
        <v>193</v>
      </c>
      <c r="O709" t="s">
        <v>193</v>
      </c>
      <c r="P709" t="s">
        <v>193</v>
      </c>
    </row>
    <row r="710" spans="1:16" ht="12.75">
      <c r="A710" s="62" t="str">
        <f t="shared" si="11"/>
        <v>Kyrgyz Republic_Poverty gap at $2 a day (PPP) (%)</v>
      </c>
      <c r="B710" t="s">
        <v>490</v>
      </c>
      <c r="C710" t="s">
        <v>215</v>
      </c>
      <c r="D710" t="s">
        <v>416</v>
      </c>
      <c r="E710" t="s">
        <v>417</v>
      </c>
      <c r="F710" t="s">
        <v>193</v>
      </c>
      <c r="G710">
        <v>4.51</v>
      </c>
      <c r="H710" t="s">
        <v>193</v>
      </c>
      <c r="I710">
        <v>2.62</v>
      </c>
      <c r="J710" t="s">
        <v>193</v>
      </c>
      <c r="K710">
        <v>5.86</v>
      </c>
      <c r="L710" t="s">
        <v>193</v>
      </c>
      <c r="M710">
        <v>4.39</v>
      </c>
      <c r="N710" t="s">
        <v>193</v>
      </c>
      <c r="O710" t="s">
        <v>193</v>
      </c>
      <c r="P710" t="s">
        <v>193</v>
      </c>
    </row>
    <row r="711" spans="1:16" ht="12.75">
      <c r="A711" s="62" t="str">
        <f t="shared" si="11"/>
        <v>Kyrgyz Republic_Population, total</v>
      </c>
      <c r="B711" t="s">
        <v>490</v>
      </c>
      <c r="C711" t="s">
        <v>215</v>
      </c>
      <c r="D711" t="s">
        <v>418</v>
      </c>
      <c r="E711" t="s">
        <v>419</v>
      </c>
      <c r="F711">
        <v>4657000</v>
      </c>
      <c r="G711">
        <v>4725000</v>
      </c>
      <c r="H711">
        <v>4797000</v>
      </c>
      <c r="I711">
        <v>4864600</v>
      </c>
      <c r="J711">
        <v>4915300</v>
      </c>
      <c r="K711">
        <v>4954800</v>
      </c>
      <c r="L711">
        <v>4993200</v>
      </c>
      <c r="M711">
        <v>5038600</v>
      </c>
      <c r="N711">
        <v>5092802</v>
      </c>
      <c r="O711">
        <v>5143500</v>
      </c>
      <c r="P711">
        <v>5199755.89430021</v>
      </c>
    </row>
    <row r="712" spans="1:16" ht="12.75">
      <c r="A712" s="62" t="str">
        <f t="shared" si="11"/>
        <v>Kyrgyz Republic_Public spending on education, total (% of GDP)</v>
      </c>
      <c r="B712" t="s">
        <v>490</v>
      </c>
      <c r="C712" t="s">
        <v>215</v>
      </c>
      <c r="D712" t="s">
        <v>420</v>
      </c>
      <c r="E712" t="s">
        <v>421</v>
      </c>
      <c r="F712" t="s">
        <v>193</v>
      </c>
      <c r="G712" t="s">
        <v>193</v>
      </c>
      <c r="H712" t="s">
        <v>193</v>
      </c>
      <c r="I712">
        <v>3.43572592235061</v>
      </c>
      <c r="J712">
        <v>2.93510707252485</v>
      </c>
      <c r="K712">
        <v>3.09327666502258</v>
      </c>
      <c r="L712">
        <v>4.4454654248598</v>
      </c>
      <c r="M712">
        <v>4.44548546762171</v>
      </c>
      <c r="N712" t="s">
        <v>193</v>
      </c>
      <c r="O712" t="s">
        <v>193</v>
      </c>
      <c r="P712" t="s">
        <v>193</v>
      </c>
    </row>
    <row r="713" spans="1:16" ht="12.75">
      <c r="A713" s="62" t="str">
        <f t="shared" si="11"/>
        <v>Kyrgyz Republic_Public spending on education, total (% of government expenditure)</v>
      </c>
      <c r="B713" t="s">
        <v>490</v>
      </c>
      <c r="C713" t="s">
        <v>215</v>
      </c>
      <c r="D713" t="s">
        <v>422</v>
      </c>
      <c r="E713" t="s">
        <v>423</v>
      </c>
      <c r="F713" t="s">
        <v>193</v>
      </c>
      <c r="G713" t="s">
        <v>193</v>
      </c>
      <c r="H713" t="s">
        <v>193</v>
      </c>
      <c r="I713" t="s">
        <v>193</v>
      </c>
      <c r="J713" t="s">
        <v>193</v>
      </c>
      <c r="K713">
        <v>18.6477264104219</v>
      </c>
      <c r="L713" t="s">
        <v>193</v>
      </c>
      <c r="M713" t="s">
        <v>193</v>
      </c>
      <c r="N713" t="s">
        <v>193</v>
      </c>
      <c r="O713" t="s">
        <v>193</v>
      </c>
      <c r="P713" t="s">
        <v>193</v>
      </c>
    </row>
    <row r="714" spans="1:16" ht="12.75">
      <c r="A714" s="62" t="str">
        <f t="shared" si="11"/>
        <v>Kyrgyz Republic_Health expenditure, public (% of total health expenditure)</v>
      </c>
      <c r="B714" t="s">
        <v>490</v>
      </c>
      <c r="C714" t="s">
        <v>215</v>
      </c>
      <c r="D714" t="s">
        <v>424</v>
      </c>
      <c r="E714" t="s">
        <v>425</v>
      </c>
      <c r="F714" t="s">
        <v>193</v>
      </c>
      <c r="G714" t="s">
        <v>193</v>
      </c>
      <c r="H714" t="s">
        <v>193</v>
      </c>
      <c r="I714" t="s">
        <v>193</v>
      </c>
      <c r="J714">
        <v>48.1</v>
      </c>
      <c r="K714">
        <v>44.6</v>
      </c>
      <c r="L714">
        <v>41.9</v>
      </c>
      <c r="M714">
        <v>41</v>
      </c>
      <c r="N714">
        <v>40.9</v>
      </c>
      <c r="O714" t="s">
        <v>193</v>
      </c>
      <c r="P714" t="s">
        <v>193</v>
      </c>
    </row>
    <row r="715" spans="1:16" ht="12.75">
      <c r="A715" s="62" t="str">
        <f t="shared" si="11"/>
        <v>Kyrgyz Republic_Health expenditure, public (% of GDP)</v>
      </c>
      <c r="B715" t="s">
        <v>490</v>
      </c>
      <c r="C715" t="s">
        <v>215</v>
      </c>
      <c r="D715" t="s">
        <v>426</v>
      </c>
      <c r="E715" t="s">
        <v>427</v>
      </c>
      <c r="F715" t="s">
        <v>193</v>
      </c>
      <c r="G715" t="s">
        <v>193</v>
      </c>
      <c r="H715" t="s">
        <v>193</v>
      </c>
      <c r="I715" t="s">
        <v>193</v>
      </c>
      <c r="J715">
        <v>2.405</v>
      </c>
      <c r="K715">
        <v>2.2746</v>
      </c>
      <c r="L715">
        <v>2.3883</v>
      </c>
      <c r="M715">
        <v>2.337</v>
      </c>
      <c r="N715">
        <v>2.2904</v>
      </c>
      <c r="O715" t="s">
        <v>193</v>
      </c>
      <c r="P715" t="s">
        <v>193</v>
      </c>
    </row>
    <row r="716" spans="1:16" ht="12.75">
      <c r="A716" s="62" t="str">
        <f t="shared" si="11"/>
        <v>Kyrgyz Republic_Health expenditure, total (% of GDP)</v>
      </c>
      <c r="B716" t="s">
        <v>490</v>
      </c>
      <c r="C716" t="s">
        <v>215</v>
      </c>
      <c r="D716" t="s">
        <v>428</v>
      </c>
      <c r="E716" t="s">
        <v>429</v>
      </c>
      <c r="F716" t="s">
        <v>193</v>
      </c>
      <c r="G716" t="s">
        <v>193</v>
      </c>
      <c r="H716" t="s">
        <v>193</v>
      </c>
      <c r="I716" t="s">
        <v>193</v>
      </c>
      <c r="J716">
        <v>5</v>
      </c>
      <c r="K716">
        <v>5.1</v>
      </c>
      <c r="L716">
        <v>5.7</v>
      </c>
      <c r="M716">
        <v>5.7</v>
      </c>
      <c r="N716">
        <v>5.6</v>
      </c>
      <c r="O716" t="s">
        <v>193</v>
      </c>
      <c r="P716" t="s">
        <v>193</v>
      </c>
    </row>
    <row r="717" spans="1:16" ht="12.75">
      <c r="A717" s="62" t="str">
        <f t="shared" si="11"/>
        <v>Kyrgyz Republic_GDP (current LCU)</v>
      </c>
      <c r="B717" t="s">
        <v>490</v>
      </c>
      <c r="C717" t="s">
        <v>215</v>
      </c>
      <c r="D717" t="s">
        <v>430</v>
      </c>
      <c r="E717" t="s">
        <v>431</v>
      </c>
      <c r="F717">
        <v>23399299072</v>
      </c>
      <c r="G717">
        <v>30685700096</v>
      </c>
      <c r="H717">
        <v>34181400576</v>
      </c>
      <c r="I717">
        <v>48744022016</v>
      </c>
      <c r="J717">
        <v>65357922304</v>
      </c>
      <c r="K717">
        <v>73883303936</v>
      </c>
      <c r="L717">
        <v>75366686720</v>
      </c>
      <c r="M717">
        <v>83871604736</v>
      </c>
      <c r="N717">
        <v>94350729216</v>
      </c>
      <c r="O717">
        <v>100899201024</v>
      </c>
      <c r="P717">
        <v>113175601152</v>
      </c>
    </row>
    <row r="718" spans="1:16" ht="12.75">
      <c r="A718" s="62" t="str">
        <f t="shared" si="11"/>
        <v>Kyrgyz Republic_GDP (current US$)</v>
      </c>
      <c r="B718" t="s">
        <v>490</v>
      </c>
      <c r="C718" t="s">
        <v>215</v>
      </c>
      <c r="D718" t="s">
        <v>432</v>
      </c>
      <c r="E718" t="s">
        <v>433</v>
      </c>
      <c r="F718">
        <v>1827570560</v>
      </c>
      <c r="G718">
        <v>1767864064</v>
      </c>
      <c r="H718">
        <v>1645963776</v>
      </c>
      <c r="I718">
        <v>1249062016</v>
      </c>
      <c r="J718">
        <v>1369691904</v>
      </c>
      <c r="K718">
        <v>1525113472</v>
      </c>
      <c r="L718">
        <v>1605640576</v>
      </c>
      <c r="M718">
        <v>1919012736</v>
      </c>
      <c r="N718">
        <v>2211535360</v>
      </c>
      <c r="O718">
        <v>2459876096</v>
      </c>
      <c r="P718">
        <v>2694657024</v>
      </c>
    </row>
    <row r="719" spans="1:16" ht="12.75">
      <c r="A719" s="62" t="str">
        <f t="shared" si="11"/>
        <v>Kyrgyz Republic_GDP per capita, PPP (current international $)</v>
      </c>
      <c r="B719" t="s">
        <v>490</v>
      </c>
      <c r="C719" t="s">
        <v>215</v>
      </c>
      <c r="D719" t="s">
        <v>434</v>
      </c>
      <c r="E719" t="s">
        <v>435</v>
      </c>
      <c r="F719">
        <v>1208.37590881559</v>
      </c>
      <c r="G719">
        <v>1330.93997578786</v>
      </c>
      <c r="H719">
        <v>1353.65423160624</v>
      </c>
      <c r="I719">
        <v>1403.63528728564</v>
      </c>
      <c r="J719">
        <v>1496.70232424408</v>
      </c>
      <c r="K719">
        <v>1601.53625086839</v>
      </c>
      <c r="L719">
        <v>1616.75126379569</v>
      </c>
      <c r="M719">
        <v>1749.7225143286</v>
      </c>
      <c r="N719">
        <v>1901.35818767547</v>
      </c>
      <c r="O719">
        <v>1936.0013925993</v>
      </c>
      <c r="P719">
        <v>2023.84060319095</v>
      </c>
    </row>
    <row r="720" spans="1:16" ht="12.75">
      <c r="A720" s="62" t="str">
        <f t="shared" si="11"/>
        <v>Kyrgyz Republic_GDP per capita, PPP (constant 2000 international $)</v>
      </c>
      <c r="B720" t="s">
        <v>490</v>
      </c>
      <c r="C720" t="s">
        <v>215</v>
      </c>
      <c r="D720" t="s">
        <v>436</v>
      </c>
      <c r="E720" t="s">
        <v>437</v>
      </c>
      <c r="F720">
        <v>1287.62871631012</v>
      </c>
      <c r="G720">
        <v>1394.93102421199</v>
      </c>
      <c r="H720">
        <v>1403.14786079906</v>
      </c>
      <c r="I720">
        <v>1434.23250591127</v>
      </c>
      <c r="J720">
        <v>1496.70232424408</v>
      </c>
      <c r="K720">
        <v>1563.8657293988</v>
      </c>
      <c r="L720">
        <v>1551.56956791556</v>
      </c>
      <c r="M720">
        <v>1645.6863200718699</v>
      </c>
      <c r="N720">
        <v>1742.58074272528</v>
      </c>
      <c r="O720">
        <v>1722.37633856519</v>
      </c>
      <c r="P720">
        <v>1749.30108175626</v>
      </c>
    </row>
    <row r="721" spans="1:16" ht="12.75">
      <c r="A721" s="62" t="str">
        <f t="shared" si="11"/>
        <v>Kyrgyz Republic_GINI index</v>
      </c>
      <c r="B721" t="s">
        <v>490</v>
      </c>
      <c r="C721" t="s">
        <v>215</v>
      </c>
      <c r="D721" t="s">
        <v>438</v>
      </c>
      <c r="E721" t="s">
        <v>439</v>
      </c>
      <c r="F721" t="s">
        <v>193</v>
      </c>
      <c r="G721">
        <v>40.5</v>
      </c>
      <c r="H721" t="s">
        <v>193</v>
      </c>
      <c r="I721">
        <v>34.6</v>
      </c>
      <c r="J721" t="s">
        <v>193</v>
      </c>
      <c r="K721">
        <v>29.03</v>
      </c>
      <c r="L721" t="s">
        <v>193</v>
      </c>
      <c r="M721">
        <v>30.31</v>
      </c>
      <c r="N721" t="s">
        <v>193</v>
      </c>
      <c r="O721" t="s">
        <v>193</v>
      </c>
      <c r="P721" t="s">
        <v>193</v>
      </c>
    </row>
    <row r="722" spans="1:16" ht="12.75">
      <c r="A722" s="62" t="str">
        <f t="shared" si="11"/>
        <v>Latvia_Poverty headcount ratio at national poverty line (% of population)</v>
      </c>
      <c r="B722" t="s">
        <v>491</v>
      </c>
      <c r="C722" t="s">
        <v>216</v>
      </c>
      <c r="D722" t="s">
        <v>408</v>
      </c>
      <c r="E722" t="s">
        <v>409</v>
      </c>
      <c r="F722" t="s">
        <v>193</v>
      </c>
      <c r="G722" t="s">
        <v>193</v>
      </c>
      <c r="H722" t="s">
        <v>193</v>
      </c>
      <c r="I722" t="s">
        <v>193</v>
      </c>
      <c r="J722" t="s">
        <v>193</v>
      </c>
      <c r="K722" t="s">
        <v>193</v>
      </c>
      <c r="L722" t="s">
        <v>193</v>
      </c>
      <c r="M722" t="s">
        <v>193</v>
      </c>
      <c r="N722" t="s">
        <v>193</v>
      </c>
      <c r="O722" t="s">
        <v>193</v>
      </c>
      <c r="P722" t="s">
        <v>193</v>
      </c>
    </row>
    <row r="723" spans="1:16" ht="12.75">
      <c r="A723" s="62" t="str">
        <f t="shared" si="11"/>
        <v>Latvia_Poverty headcount ratio at $2 a day (PPP) (% of population)</v>
      </c>
      <c r="B723" t="s">
        <v>491</v>
      </c>
      <c r="C723" t="s">
        <v>216</v>
      </c>
      <c r="D723" t="s">
        <v>410</v>
      </c>
      <c r="E723" t="s">
        <v>411</v>
      </c>
      <c r="F723">
        <v>8.39</v>
      </c>
      <c r="G723" t="s">
        <v>193</v>
      </c>
      <c r="H723">
        <v>11.52</v>
      </c>
      <c r="I723" t="s">
        <v>193</v>
      </c>
      <c r="J723" t="s">
        <v>193</v>
      </c>
      <c r="K723" t="s">
        <v>193</v>
      </c>
      <c r="L723" t="s">
        <v>193</v>
      </c>
      <c r="M723">
        <v>4.71</v>
      </c>
      <c r="N723" t="s">
        <v>193</v>
      </c>
      <c r="O723" t="s">
        <v>193</v>
      </c>
      <c r="P723" t="s">
        <v>193</v>
      </c>
    </row>
    <row r="724" spans="1:16" ht="12.75">
      <c r="A724" s="62" t="str">
        <f t="shared" si="11"/>
        <v>Latvia_Poverty headcount ratio at $1 a day (PPP) (% of population)</v>
      </c>
      <c r="B724" t="s">
        <v>491</v>
      </c>
      <c r="C724" t="s">
        <v>216</v>
      </c>
      <c r="D724" t="s">
        <v>412</v>
      </c>
      <c r="E724" t="s">
        <v>413</v>
      </c>
      <c r="F724">
        <v>2</v>
      </c>
      <c r="G724" t="s">
        <v>193</v>
      </c>
      <c r="H724">
        <v>2</v>
      </c>
      <c r="I724" t="s">
        <v>193</v>
      </c>
      <c r="J724" t="s">
        <v>193</v>
      </c>
      <c r="K724" t="s">
        <v>193</v>
      </c>
      <c r="L724" t="s">
        <v>193</v>
      </c>
      <c r="M724">
        <v>2</v>
      </c>
      <c r="N724" t="s">
        <v>193</v>
      </c>
      <c r="O724" t="s">
        <v>193</v>
      </c>
      <c r="P724" t="s">
        <v>193</v>
      </c>
    </row>
    <row r="725" spans="1:16" ht="12.75">
      <c r="A725" s="62" t="str">
        <f t="shared" si="11"/>
        <v>Latvia_Poverty gap at $1 a day (PPP) (%)</v>
      </c>
      <c r="B725" t="s">
        <v>491</v>
      </c>
      <c r="C725" t="s">
        <v>216</v>
      </c>
      <c r="D725" t="s">
        <v>414</v>
      </c>
      <c r="E725" t="s">
        <v>415</v>
      </c>
      <c r="F725">
        <v>0.5</v>
      </c>
      <c r="G725" t="s">
        <v>193</v>
      </c>
      <c r="H725">
        <v>0.67</v>
      </c>
      <c r="I725" t="s">
        <v>193</v>
      </c>
      <c r="J725" t="s">
        <v>193</v>
      </c>
      <c r="K725" t="s">
        <v>193</v>
      </c>
      <c r="L725" t="s">
        <v>193</v>
      </c>
      <c r="M725">
        <v>0.5</v>
      </c>
      <c r="N725" t="s">
        <v>193</v>
      </c>
      <c r="O725" t="s">
        <v>193</v>
      </c>
      <c r="P725" t="s">
        <v>193</v>
      </c>
    </row>
    <row r="726" spans="1:16" ht="12.75">
      <c r="A726" s="62" t="str">
        <f t="shared" si="11"/>
        <v>Latvia_Poverty gap at $2 a day (PPP) (%)</v>
      </c>
      <c r="B726" t="s">
        <v>491</v>
      </c>
      <c r="C726" t="s">
        <v>216</v>
      </c>
      <c r="D726" t="s">
        <v>416</v>
      </c>
      <c r="E726" t="s">
        <v>417</v>
      </c>
      <c r="F726">
        <v>2.22</v>
      </c>
      <c r="G726" t="s">
        <v>193</v>
      </c>
      <c r="H726">
        <v>2.63</v>
      </c>
      <c r="I726" t="s">
        <v>193</v>
      </c>
      <c r="J726" t="s">
        <v>193</v>
      </c>
      <c r="K726" t="s">
        <v>193</v>
      </c>
      <c r="L726" t="s">
        <v>193</v>
      </c>
      <c r="M726">
        <v>1.24</v>
      </c>
      <c r="N726" t="s">
        <v>193</v>
      </c>
      <c r="O726" t="s">
        <v>193</v>
      </c>
      <c r="P726" t="s">
        <v>193</v>
      </c>
    </row>
    <row r="727" spans="1:16" ht="12.75">
      <c r="A727" s="62" t="str">
        <f t="shared" si="11"/>
        <v>Latvia_Population, total</v>
      </c>
      <c r="B727" t="s">
        <v>491</v>
      </c>
      <c r="C727" t="s">
        <v>216</v>
      </c>
      <c r="D727" t="s">
        <v>418</v>
      </c>
      <c r="E727" t="s">
        <v>419</v>
      </c>
      <c r="F727">
        <v>2491000</v>
      </c>
      <c r="G727">
        <v>2450000</v>
      </c>
      <c r="H727">
        <v>2410000</v>
      </c>
      <c r="I727">
        <v>2390000</v>
      </c>
      <c r="J727">
        <v>2372000</v>
      </c>
      <c r="K727">
        <v>2359000</v>
      </c>
      <c r="L727">
        <v>2338000</v>
      </c>
      <c r="M727">
        <v>2325341.86733908</v>
      </c>
      <c r="N727">
        <v>2312791.1449156</v>
      </c>
      <c r="O727">
        <v>2300500</v>
      </c>
      <c r="P727">
        <v>2286633.84940495</v>
      </c>
    </row>
    <row r="728" spans="1:16" ht="12.75">
      <c r="A728" s="62" t="str">
        <f t="shared" si="11"/>
        <v>Latvia_Public spending on education, total (% of GDP)</v>
      </c>
      <c r="B728" t="s">
        <v>491</v>
      </c>
      <c r="C728" t="s">
        <v>216</v>
      </c>
      <c r="D728" t="s">
        <v>420</v>
      </c>
      <c r="E728" t="s">
        <v>421</v>
      </c>
      <c r="F728" t="s">
        <v>193</v>
      </c>
      <c r="G728" t="s">
        <v>193</v>
      </c>
      <c r="H728" t="s">
        <v>193</v>
      </c>
      <c r="I728">
        <v>5.78097636711862</v>
      </c>
      <c r="J728">
        <v>5.35909755956144</v>
      </c>
      <c r="K728">
        <v>5.47903226613289</v>
      </c>
      <c r="L728">
        <v>5.74822414259141</v>
      </c>
      <c r="M728">
        <v>5.32161160018575</v>
      </c>
      <c r="N728" t="s">
        <v>193</v>
      </c>
      <c r="O728" t="s">
        <v>193</v>
      </c>
      <c r="P728" t="s">
        <v>193</v>
      </c>
    </row>
    <row r="729" spans="1:16" ht="12.75">
      <c r="A729" s="62" t="str">
        <f t="shared" si="11"/>
        <v>Latvia_Public spending on education, total (% of government expenditure)</v>
      </c>
      <c r="B729" t="s">
        <v>491</v>
      </c>
      <c r="C729" t="s">
        <v>216</v>
      </c>
      <c r="D729" t="s">
        <v>422</v>
      </c>
      <c r="E729" t="s">
        <v>423</v>
      </c>
      <c r="F729" t="s">
        <v>193</v>
      </c>
      <c r="G729" t="s">
        <v>193</v>
      </c>
      <c r="H729" t="s">
        <v>193</v>
      </c>
      <c r="I729" t="s">
        <v>193</v>
      </c>
      <c r="J729" t="s">
        <v>193</v>
      </c>
      <c r="K729" t="s">
        <v>193</v>
      </c>
      <c r="L729">
        <v>16.1313904186364</v>
      </c>
      <c r="M729">
        <v>15.3679360346931</v>
      </c>
      <c r="N729" t="s">
        <v>193</v>
      </c>
      <c r="O729" t="s">
        <v>193</v>
      </c>
      <c r="P729" t="s">
        <v>193</v>
      </c>
    </row>
    <row r="730" spans="1:16" ht="12.75">
      <c r="A730" s="62" t="str">
        <f t="shared" si="11"/>
        <v>Latvia_Health expenditure, public (% of total health expenditure)</v>
      </c>
      <c r="B730" t="s">
        <v>491</v>
      </c>
      <c r="C730" t="s">
        <v>216</v>
      </c>
      <c r="D730" t="s">
        <v>424</v>
      </c>
      <c r="E730" t="s">
        <v>425</v>
      </c>
      <c r="F730" t="s">
        <v>193</v>
      </c>
      <c r="G730" t="s">
        <v>193</v>
      </c>
      <c r="H730" t="s">
        <v>193</v>
      </c>
      <c r="I730" t="s">
        <v>193</v>
      </c>
      <c r="J730">
        <v>53.9</v>
      </c>
      <c r="K730">
        <v>50.2</v>
      </c>
      <c r="L730">
        <v>51.8</v>
      </c>
      <c r="M730">
        <v>52.5</v>
      </c>
      <c r="N730">
        <v>56.6</v>
      </c>
      <c r="O730" t="s">
        <v>193</v>
      </c>
      <c r="P730" t="s">
        <v>193</v>
      </c>
    </row>
    <row r="731" spans="1:16" ht="12.75">
      <c r="A731" s="62" t="str">
        <f t="shared" si="11"/>
        <v>Latvia_Health expenditure, public (% of GDP)</v>
      </c>
      <c r="B731" t="s">
        <v>491</v>
      </c>
      <c r="C731" t="s">
        <v>216</v>
      </c>
      <c r="D731" t="s">
        <v>426</v>
      </c>
      <c r="E731" t="s">
        <v>427</v>
      </c>
      <c r="F731" t="s">
        <v>193</v>
      </c>
      <c r="G731" t="s">
        <v>193</v>
      </c>
      <c r="H731" t="s">
        <v>193</v>
      </c>
      <c r="I731" t="s">
        <v>193</v>
      </c>
      <c r="J731">
        <v>3.1801</v>
      </c>
      <c r="K731">
        <v>3.012</v>
      </c>
      <c r="L731">
        <v>3.2116</v>
      </c>
      <c r="M731">
        <v>3.2025</v>
      </c>
      <c r="N731">
        <v>4.0186</v>
      </c>
      <c r="O731" t="s">
        <v>193</v>
      </c>
      <c r="P731" t="s">
        <v>193</v>
      </c>
    </row>
    <row r="732" spans="1:16" ht="12.75">
      <c r="A732" s="62" t="str">
        <f t="shared" si="11"/>
        <v>Latvia_Health expenditure, total (% of GDP)</v>
      </c>
      <c r="B732" t="s">
        <v>491</v>
      </c>
      <c r="C732" t="s">
        <v>216</v>
      </c>
      <c r="D732" t="s">
        <v>428</v>
      </c>
      <c r="E732" t="s">
        <v>429</v>
      </c>
      <c r="F732" t="s">
        <v>193</v>
      </c>
      <c r="G732" t="s">
        <v>193</v>
      </c>
      <c r="H732" t="s">
        <v>193</v>
      </c>
      <c r="I732" t="s">
        <v>193</v>
      </c>
      <c r="J732">
        <v>5.9</v>
      </c>
      <c r="K732">
        <v>6</v>
      </c>
      <c r="L732">
        <v>6.2</v>
      </c>
      <c r="M732">
        <v>6.1</v>
      </c>
      <c r="N732">
        <v>7.1</v>
      </c>
      <c r="O732" t="s">
        <v>193</v>
      </c>
      <c r="P732" t="s">
        <v>193</v>
      </c>
    </row>
    <row r="733" spans="1:16" ht="12.75">
      <c r="A733" s="62" t="str">
        <f t="shared" si="11"/>
        <v>Latvia_GDP (current LCU)</v>
      </c>
      <c r="B733" t="s">
        <v>491</v>
      </c>
      <c r="C733" t="s">
        <v>216</v>
      </c>
      <c r="D733" t="s">
        <v>430</v>
      </c>
      <c r="E733" t="s">
        <v>431</v>
      </c>
      <c r="F733">
        <v>3076100096</v>
      </c>
      <c r="G733">
        <v>3562899968</v>
      </c>
      <c r="H733">
        <v>3902899968</v>
      </c>
      <c r="I733">
        <v>4265004032</v>
      </c>
      <c r="J733">
        <v>4750755840</v>
      </c>
      <c r="K733">
        <v>5219904000</v>
      </c>
      <c r="L733">
        <v>5758325248</v>
      </c>
      <c r="M733">
        <v>6392778240</v>
      </c>
      <c r="N733">
        <v>7434454016</v>
      </c>
      <c r="O733">
        <v>9059087360</v>
      </c>
      <c r="P733">
        <v>11264695296</v>
      </c>
    </row>
    <row r="734" spans="1:16" ht="12.75">
      <c r="A734" s="62" t="str">
        <f t="shared" si="11"/>
        <v>Latvia_GDP (current US$)</v>
      </c>
      <c r="B734" t="s">
        <v>491</v>
      </c>
      <c r="C734" t="s">
        <v>216</v>
      </c>
      <c r="D734" t="s">
        <v>432</v>
      </c>
      <c r="E734" t="s">
        <v>433</v>
      </c>
      <c r="F734">
        <v>5585292800</v>
      </c>
      <c r="G734">
        <v>6133234176</v>
      </c>
      <c r="H734">
        <v>6616957440</v>
      </c>
      <c r="I734">
        <v>7288524288</v>
      </c>
      <c r="J734">
        <v>7833068544</v>
      </c>
      <c r="K734">
        <v>8313047552</v>
      </c>
      <c r="L734">
        <v>9314784256</v>
      </c>
      <c r="M734">
        <v>11186452480</v>
      </c>
      <c r="N734">
        <v>13761569792</v>
      </c>
      <c r="O734">
        <v>16041817088</v>
      </c>
      <c r="P734">
        <v>20115527680</v>
      </c>
    </row>
    <row r="735" spans="1:16" ht="12.75">
      <c r="A735" s="62" t="str">
        <f t="shared" si="11"/>
        <v>Latvia_GDP per capita, PPP (current international $)</v>
      </c>
      <c r="B735" t="s">
        <v>491</v>
      </c>
      <c r="C735" t="s">
        <v>216</v>
      </c>
      <c r="D735" t="s">
        <v>434</v>
      </c>
      <c r="E735" t="s">
        <v>435</v>
      </c>
      <c r="F735">
        <v>5614.61515102418</v>
      </c>
      <c r="G735">
        <v>6284.65467289655</v>
      </c>
      <c r="H735">
        <v>6765.0373398439</v>
      </c>
      <c r="I735">
        <v>7245.40438962128</v>
      </c>
      <c r="J735">
        <v>7975.26933626927</v>
      </c>
      <c r="K735">
        <v>8872.95047594749</v>
      </c>
      <c r="L735">
        <v>9698.92687739983</v>
      </c>
      <c r="M735">
        <v>10666.2032873594</v>
      </c>
      <c r="N735">
        <v>11960.517617925</v>
      </c>
      <c r="O735">
        <v>13699.7144234534</v>
      </c>
      <c r="P735">
        <v>15878.4432574737</v>
      </c>
    </row>
    <row r="736" spans="1:16" ht="12.75">
      <c r="A736" s="62" t="str">
        <f t="shared" si="11"/>
        <v>Latvia_GDP per capita, PPP (constant 2000 international $)</v>
      </c>
      <c r="B736" t="s">
        <v>491</v>
      </c>
      <c r="C736" t="s">
        <v>216</v>
      </c>
      <c r="D736" t="s">
        <v>436</v>
      </c>
      <c r="E736" t="s">
        <v>437</v>
      </c>
      <c r="F736">
        <v>5982.85653226466</v>
      </c>
      <c r="G736">
        <v>6586.81829320869</v>
      </c>
      <c r="H736">
        <v>7012.38724778642</v>
      </c>
      <c r="I736">
        <v>7403.34372339865</v>
      </c>
      <c r="J736">
        <v>7975.26933626927</v>
      </c>
      <c r="K736">
        <v>8664.24544587306</v>
      </c>
      <c r="L736">
        <v>9307.90043057205</v>
      </c>
      <c r="M736">
        <v>10032.0048998446</v>
      </c>
      <c r="N736">
        <v>10961.7261014367</v>
      </c>
      <c r="O736">
        <v>12188.0408032021</v>
      </c>
      <c r="P736">
        <v>13724.4889360901</v>
      </c>
    </row>
    <row r="737" spans="1:16" ht="12.75">
      <c r="A737" s="62" t="str">
        <f t="shared" si="11"/>
        <v>Latvia_GINI index</v>
      </c>
      <c r="B737" t="s">
        <v>491</v>
      </c>
      <c r="C737" t="s">
        <v>216</v>
      </c>
      <c r="D737" t="s">
        <v>438</v>
      </c>
      <c r="E737" t="s">
        <v>439</v>
      </c>
      <c r="F737">
        <v>31.6</v>
      </c>
      <c r="G737" t="s">
        <v>193</v>
      </c>
      <c r="H737">
        <v>33.62</v>
      </c>
      <c r="I737" t="s">
        <v>193</v>
      </c>
      <c r="J737" t="s">
        <v>193</v>
      </c>
      <c r="K737" t="s">
        <v>193</v>
      </c>
      <c r="L737" t="s">
        <v>193</v>
      </c>
      <c r="M737">
        <v>37.665</v>
      </c>
      <c r="N737" t="s">
        <v>193</v>
      </c>
      <c r="O737" t="s">
        <v>193</v>
      </c>
      <c r="P737" t="s">
        <v>193</v>
      </c>
    </row>
    <row r="738" spans="1:16" ht="12.75">
      <c r="A738" s="62" t="str">
        <f t="shared" si="11"/>
        <v>Lebanon_Poverty headcount ratio at national poverty line (% of population)</v>
      </c>
      <c r="B738" t="s">
        <v>492</v>
      </c>
      <c r="C738" t="s">
        <v>105</v>
      </c>
      <c r="D738" t="s">
        <v>408</v>
      </c>
      <c r="E738" t="s">
        <v>409</v>
      </c>
      <c r="F738" t="s">
        <v>193</v>
      </c>
      <c r="G738" t="s">
        <v>193</v>
      </c>
      <c r="H738" t="s">
        <v>193</v>
      </c>
      <c r="I738" t="s">
        <v>193</v>
      </c>
      <c r="J738" t="s">
        <v>193</v>
      </c>
      <c r="K738" t="s">
        <v>193</v>
      </c>
      <c r="L738" t="s">
        <v>193</v>
      </c>
      <c r="M738" t="s">
        <v>193</v>
      </c>
      <c r="N738" t="s">
        <v>193</v>
      </c>
      <c r="O738" t="s">
        <v>193</v>
      </c>
      <c r="P738" t="s">
        <v>193</v>
      </c>
    </row>
    <row r="739" spans="1:16" ht="12.75">
      <c r="A739" s="62" t="str">
        <f aca="true" t="shared" si="12" ref="A739:A802">C739&amp;"_"&amp;E739</f>
        <v>Lebanon_Poverty headcount ratio at $2 a day (PPP) (% of population)</v>
      </c>
      <c r="B739" t="s">
        <v>492</v>
      </c>
      <c r="C739" t="s">
        <v>105</v>
      </c>
      <c r="D739" t="s">
        <v>410</v>
      </c>
      <c r="E739" t="s">
        <v>411</v>
      </c>
      <c r="F739" t="s">
        <v>193</v>
      </c>
      <c r="G739" t="s">
        <v>193</v>
      </c>
      <c r="H739" t="s">
        <v>193</v>
      </c>
      <c r="I739" t="s">
        <v>193</v>
      </c>
      <c r="J739" t="s">
        <v>193</v>
      </c>
      <c r="K739" t="s">
        <v>193</v>
      </c>
      <c r="L739" t="s">
        <v>193</v>
      </c>
      <c r="M739" t="s">
        <v>193</v>
      </c>
      <c r="N739" t="s">
        <v>193</v>
      </c>
      <c r="O739" t="s">
        <v>193</v>
      </c>
      <c r="P739" t="s">
        <v>193</v>
      </c>
    </row>
    <row r="740" spans="1:16" ht="12.75">
      <c r="A740" s="62" t="str">
        <f t="shared" si="12"/>
        <v>Lebanon_Poverty headcount ratio at $1 a day (PPP) (% of population)</v>
      </c>
      <c r="B740" t="s">
        <v>492</v>
      </c>
      <c r="C740" t="s">
        <v>105</v>
      </c>
      <c r="D740" t="s">
        <v>412</v>
      </c>
      <c r="E740" t="s">
        <v>413</v>
      </c>
      <c r="F740" t="s">
        <v>193</v>
      </c>
      <c r="G740" t="s">
        <v>193</v>
      </c>
      <c r="H740" t="s">
        <v>193</v>
      </c>
      <c r="I740" t="s">
        <v>193</v>
      </c>
      <c r="J740" t="s">
        <v>193</v>
      </c>
      <c r="K740" t="s">
        <v>193</v>
      </c>
      <c r="L740" t="s">
        <v>193</v>
      </c>
      <c r="M740" t="s">
        <v>193</v>
      </c>
      <c r="N740" t="s">
        <v>193</v>
      </c>
      <c r="O740" t="s">
        <v>193</v>
      </c>
      <c r="P740" t="s">
        <v>193</v>
      </c>
    </row>
    <row r="741" spans="1:16" ht="12.75">
      <c r="A741" s="62" t="str">
        <f t="shared" si="12"/>
        <v>Lebanon_Poverty gap at $1 a day (PPP) (%)</v>
      </c>
      <c r="B741" t="s">
        <v>492</v>
      </c>
      <c r="C741" t="s">
        <v>105</v>
      </c>
      <c r="D741" t="s">
        <v>414</v>
      </c>
      <c r="E741" t="s">
        <v>415</v>
      </c>
      <c r="F741" t="s">
        <v>193</v>
      </c>
      <c r="G741" t="s">
        <v>193</v>
      </c>
      <c r="H741" t="s">
        <v>193</v>
      </c>
      <c r="I741" t="s">
        <v>193</v>
      </c>
      <c r="J741" t="s">
        <v>193</v>
      </c>
      <c r="K741" t="s">
        <v>193</v>
      </c>
      <c r="L741" t="s">
        <v>193</v>
      </c>
      <c r="M741" t="s">
        <v>193</v>
      </c>
      <c r="N741" t="s">
        <v>193</v>
      </c>
      <c r="O741" t="s">
        <v>193</v>
      </c>
      <c r="P741" t="s">
        <v>193</v>
      </c>
    </row>
    <row r="742" spans="1:16" ht="12.75">
      <c r="A742" s="62" t="str">
        <f t="shared" si="12"/>
        <v>Lebanon_Poverty gap at $2 a day (PPP) (%)</v>
      </c>
      <c r="B742" t="s">
        <v>492</v>
      </c>
      <c r="C742" t="s">
        <v>105</v>
      </c>
      <c r="D742" t="s">
        <v>416</v>
      </c>
      <c r="E742" t="s">
        <v>417</v>
      </c>
      <c r="F742" t="s">
        <v>193</v>
      </c>
      <c r="G742" t="s">
        <v>193</v>
      </c>
      <c r="H742" t="s">
        <v>193</v>
      </c>
      <c r="I742" t="s">
        <v>193</v>
      </c>
      <c r="J742" t="s">
        <v>193</v>
      </c>
      <c r="K742" t="s">
        <v>193</v>
      </c>
      <c r="L742" t="s">
        <v>193</v>
      </c>
      <c r="M742" t="s">
        <v>193</v>
      </c>
      <c r="N742" t="s">
        <v>193</v>
      </c>
      <c r="O742" t="s">
        <v>193</v>
      </c>
      <c r="P742" t="s">
        <v>193</v>
      </c>
    </row>
    <row r="743" spans="1:16" ht="12.75">
      <c r="A743" s="62" t="str">
        <f t="shared" si="12"/>
        <v>Lebanon_Population, total</v>
      </c>
      <c r="B743" t="s">
        <v>492</v>
      </c>
      <c r="C743" t="s">
        <v>105</v>
      </c>
      <c r="D743" t="s">
        <v>418</v>
      </c>
      <c r="E743" t="s">
        <v>419</v>
      </c>
      <c r="F743">
        <v>3569304</v>
      </c>
      <c r="G743">
        <v>3631100</v>
      </c>
      <c r="H743">
        <v>3680720</v>
      </c>
      <c r="I743">
        <v>3725884</v>
      </c>
      <c r="J743">
        <v>3772283</v>
      </c>
      <c r="K743">
        <v>3820719</v>
      </c>
      <c r="L743">
        <v>3869218</v>
      </c>
      <c r="M743">
        <v>3917538</v>
      </c>
      <c r="N743">
        <v>3964891</v>
      </c>
      <c r="O743">
        <v>4010740</v>
      </c>
      <c r="P743">
        <v>4055000</v>
      </c>
    </row>
    <row r="744" spans="1:16" ht="12.75">
      <c r="A744" s="62" t="str">
        <f t="shared" si="12"/>
        <v>Lebanon_Public spending on education, total (% of GDP)</v>
      </c>
      <c r="B744" t="s">
        <v>492</v>
      </c>
      <c r="C744" t="s">
        <v>105</v>
      </c>
      <c r="D744" t="s">
        <v>420</v>
      </c>
      <c r="E744" t="s">
        <v>421</v>
      </c>
      <c r="F744" t="s">
        <v>193</v>
      </c>
      <c r="G744" t="s">
        <v>193</v>
      </c>
      <c r="H744" t="s">
        <v>193</v>
      </c>
      <c r="I744">
        <v>2.02752556961953</v>
      </c>
      <c r="J744">
        <v>2.01231947666836</v>
      </c>
      <c r="K744">
        <v>2.93878560008883</v>
      </c>
      <c r="L744">
        <v>2.64809223619295</v>
      </c>
      <c r="M744">
        <v>2.62136226121176</v>
      </c>
      <c r="N744">
        <v>2.55564172451054</v>
      </c>
      <c r="O744">
        <v>2.56123601920958</v>
      </c>
      <c r="P744" t="s">
        <v>193</v>
      </c>
    </row>
    <row r="745" spans="1:16" ht="12.75">
      <c r="A745" s="62" t="str">
        <f t="shared" si="12"/>
        <v>Lebanon_Public spending on education, total (% of government expenditure)</v>
      </c>
      <c r="B745" t="s">
        <v>492</v>
      </c>
      <c r="C745" t="s">
        <v>105</v>
      </c>
      <c r="D745" t="s">
        <v>422</v>
      </c>
      <c r="E745" t="s">
        <v>423</v>
      </c>
      <c r="F745" t="s">
        <v>193</v>
      </c>
      <c r="G745" t="s">
        <v>193</v>
      </c>
      <c r="H745" t="s">
        <v>193</v>
      </c>
      <c r="I745">
        <v>10.4016756809985</v>
      </c>
      <c r="J745">
        <v>9.15006371420717</v>
      </c>
      <c r="K745">
        <v>11.1142922057489</v>
      </c>
      <c r="L745">
        <v>12.2836173833333</v>
      </c>
      <c r="M745" t="s">
        <v>193</v>
      </c>
      <c r="N745">
        <v>12.6889902696189</v>
      </c>
      <c r="O745">
        <v>10.9903500359549</v>
      </c>
      <c r="P745" t="s">
        <v>193</v>
      </c>
    </row>
    <row r="746" spans="1:16" ht="12.75">
      <c r="A746" s="62" t="str">
        <f t="shared" si="12"/>
        <v>Lebanon_Health expenditure, public (% of total health expenditure)</v>
      </c>
      <c r="B746" t="s">
        <v>492</v>
      </c>
      <c r="C746" t="s">
        <v>105</v>
      </c>
      <c r="D746" t="s">
        <v>424</v>
      </c>
      <c r="E746" t="s">
        <v>425</v>
      </c>
      <c r="F746" t="s">
        <v>193</v>
      </c>
      <c r="G746" t="s">
        <v>193</v>
      </c>
      <c r="H746" t="s">
        <v>193</v>
      </c>
      <c r="I746" t="s">
        <v>193</v>
      </c>
      <c r="J746">
        <v>26.2</v>
      </c>
      <c r="K746">
        <v>27.3</v>
      </c>
      <c r="L746">
        <v>25</v>
      </c>
      <c r="M746">
        <v>29</v>
      </c>
      <c r="N746">
        <v>27.4</v>
      </c>
      <c r="O746" t="s">
        <v>193</v>
      </c>
      <c r="P746" t="s">
        <v>193</v>
      </c>
    </row>
    <row r="747" spans="1:16" ht="12.75">
      <c r="A747" s="62" t="str">
        <f t="shared" si="12"/>
        <v>Lebanon_Health expenditure, public (% of GDP)</v>
      </c>
      <c r="B747" t="s">
        <v>492</v>
      </c>
      <c r="C747" t="s">
        <v>105</v>
      </c>
      <c r="D747" t="s">
        <v>426</v>
      </c>
      <c r="E747" t="s">
        <v>427</v>
      </c>
      <c r="F747" t="s">
        <v>193</v>
      </c>
      <c r="G747" t="s">
        <v>193</v>
      </c>
      <c r="H747" t="s">
        <v>193</v>
      </c>
      <c r="I747" t="s">
        <v>193</v>
      </c>
      <c r="J747">
        <v>3.0654</v>
      </c>
      <c r="K747">
        <v>3.2214</v>
      </c>
      <c r="L747">
        <v>2.85</v>
      </c>
      <c r="M747">
        <v>3.422</v>
      </c>
      <c r="N747">
        <v>3.1784</v>
      </c>
      <c r="O747" t="s">
        <v>193</v>
      </c>
      <c r="P747" t="s">
        <v>193</v>
      </c>
    </row>
    <row r="748" spans="1:16" ht="12.75">
      <c r="A748" s="62" t="str">
        <f t="shared" si="12"/>
        <v>Lebanon_Health expenditure, total (% of GDP)</v>
      </c>
      <c r="B748" t="s">
        <v>492</v>
      </c>
      <c r="C748" t="s">
        <v>105</v>
      </c>
      <c r="D748" t="s">
        <v>428</v>
      </c>
      <c r="E748" t="s">
        <v>429</v>
      </c>
      <c r="F748" t="s">
        <v>193</v>
      </c>
      <c r="G748" t="s">
        <v>193</v>
      </c>
      <c r="H748" t="s">
        <v>193</v>
      </c>
      <c r="I748" t="s">
        <v>193</v>
      </c>
      <c r="J748">
        <v>11.7</v>
      </c>
      <c r="K748">
        <v>11.8</v>
      </c>
      <c r="L748">
        <v>11.4</v>
      </c>
      <c r="M748">
        <v>11.8</v>
      </c>
      <c r="N748">
        <v>11.6</v>
      </c>
      <c r="O748" t="s">
        <v>193</v>
      </c>
      <c r="P748" t="s">
        <v>193</v>
      </c>
    </row>
    <row r="749" spans="1:16" ht="12.75">
      <c r="A749" s="62" t="str">
        <f t="shared" si="12"/>
        <v>Lebanon_GDP (current LCU)</v>
      </c>
      <c r="B749" t="s">
        <v>492</v>
      </c>
      <c r="C749" t="s">
        <v>105</v>
      </c>
      <c r="D749" t="s">
        <v>430</v>
      </c>
      <c r="E749" t="s">
        <v>431</v>
      </c>
      <c r="F749">
        <v>21512807514112</v>
      </c>
      <c r="G749">
        <v>24007998963712</v>
      </c>
      <c r="H749">
        <v>25637999869952</v>
      </c>
      <c r="I749">
        <v>25647000846336</v>
      </c>
      <c r="J749">
        <v>25358998962176</v>
      </c>
      <c r="K749">
        <v>25947000537088</v>
      </c>
      <c r="L749">
        <v>28208999170048</v>
      </c>
      <c r="M749">
        <v>29846000369664</v>
      </c>
      <c r="N749">
        <v>32357453135872</v>
      </c>
      <c r="O749">
        <v>32446435295232</v>
      </c>
      <c r="P749">
        <v>34253702168576</v>
      </c>
    </row>
    <row r="750" spans="1:16" ht="12.75">
      <c r="A750" s="62" t="str">
        <f t="shared" si="12"/>
        <v>Lebanon_GDP (current US$)</v>
      </c>
      <c r="B750" t="s">
        <v>492</v>
      </c>
      <c r="C750" t="s">
        <v>105</v>
      </c>
      <c r="D750" t="s">
        <v>432</v>
      </c>
      <c r="E750" t="s">
        <v>433</v>
      </c>
      <c r="F750">
        <v>13690217472</v>
      </c>
      <c r="G750">
        <v>15594673152</v>
      </c>
      <c r="H750">
        <v>16910137344</v>
      </c>
      <c r="I750">
        <v>17009053696</v>
      </c>
      <c r="J750">
        <v>16821890048</v>
      </c>
      <c r="K750">
        <v>17211940864</v>
      </c>
      <c r="L750">
        <v>18712438784</v>
      </c>
      <c r="M750">
        <v>19798341632</v>
      </c>
      <c r="N750">
        <v>21464313856</v>
      </c>
      <c r="O750">
        <v>21523341312</v>
      </c>
      <c r="P750">
        <v>22722191360</v>
      </c>
    </row>
    <row r="751" spans="1:16" ht="12.75">
      <c r="A751" s="62" t="str">
        <f t="shared" si="12"/>
        <v>Lebanon_GDP per capita, PPP (current international $)</v>
      </c>
      <c r="B751" t="s">
        <v>492</v>
      </c>
      <c r="C751" t="s">
        <v>105</v>
      </c>
      <c r="D751" t="s">
        <v>434</v>
      </c>
      <c r="E751" t="s">
        <v>435</v>
      </c>
      <c r="F751">
        <v>3983.99992983176</v>
      </c>
      <c r="G751">
        <v>4101.06064656566</v>
      </c>
      <c r="H751">
        <v>4213.23474829347</v>
      </c>
      <c r="I751">
        <v>4190.18975015367</v>
      </c>
      <c r="J751">
        <v>4301.4173293511</v>
      </c>
      <c r="K751">
        <v>4544.18795857462</v>
      </c>
      <c r="L751">
        <v>4711.98405107171</v>
      </c>
      <c r="M751">
        <v>4945.70286471524</v>
      </c>
      <c r="N751">
        <v>5387.96705344378</v>
      </c>
      <c r="O751">
        <v>5541.91197994454</v>
      </c>
      <c r="P751">
        <v>5641.50741923941</v>
      </c>
    </row>
    <row r="752" spans="1:16" ht="12.75">
      <c r="A752" s="62" t="str">
        <f t="shared" si="12"/>
        <v>Lebanon_GDP per capita, PPP (constant 2000 international $)</v>
      </c>
      <c r="B752" t="s">
        <v>492</v>
      </c>
      <c r="C752" t="s">
        <v>105</v>
      </c>
      <c r="D752" t="s">
        <v>436</v>
      </c>
      <c r="E752" t="s">
        <v>437</v>
      </c>
      <c r="F752">
        <v>4245.29542338942</v>
      </c>
      <c r="G752">
        <v>4298.23796124456</v>
      </c>
      <c r="H752">
        <v>4367.28315553473</v>
      </c>
      <c r="I752">
        <v>4281.52982476538</v>
      </c>
      <c r="J752">
        <v>4301.4173293511</v>
      </c>
      <c r="K752">
        <v>4437.30187968473</v>
      </c>
      <c r="L752">
        <v>4522.01351058922</v>
      </c>
      <c r="M752">
        <v>4651.63789169464</v>
      </c>
      <c r="N752">
        <v>4938.03202922432</v>
      </c>
      <c r="O752">
        <v>4930.39834638336</v>
      </c>
      <c r="P752">
        <v>4876.22148485987</v>
      </c>
    </row>
    <row r="753" spans="1:16" ht="12.75">
      <c r="A753" s="62" t="str">
        <f t="shared" si="12"/>
        <v>Lebanon_GINI index</v>
      </c>
      <c r="B753" t="s">
        <v>492</v>
      </c>
      <c r="C753" t="s">
        <v>105</v>
      </c>
      <c r="D753" t="s">
        <v>438</v>
      </c>
      <c r="E753" t="s">
        <v>439</v>
      </c>
      <c r="F753" t="s">
        <v>193</v>
      </c>
      <c r="G753" t="s">
        <v>193</v>
      </c>
      <c r="H753" t="s">
        <v>193</v>
      </c>
      <c r="I753" t="s">
        <v>193</v>
      </c>
      <c r="J753" t="s">
        <v>193</v>
      </c>
      <c r="K753" t="s">
        <v>193</v>
      </c>
      <c r="L753" t="s">
        <v>193</v>
      </c>
      <c r="M753" t="s">
        <v>193</v>
      </c>
      <c r="N753" t="s">
        <v>193</v>
      </c>
      <c r="O753" t="s">
        <v>193</v>
      </c>
      <c r="P753" t="s">
        <v>193</v>
      </c>
    </row>
    <row r="754" spans="1:16" ht="12.75">
      <c r="A754" s="62" t="str">
        <f t="shared" si="12"/>
        <v>Macedonia, FYR_Poverty headcount ratio at national poverty line (% of population)</v>
      </c>
      <c r="B754" t="s">
        <v>493</v>
      </c>
      <c r="C754" t="s">
        <v>494</v>
      </c>
      <c r="D754" t="s">
        <v>408</v>
      </c>
      <c r="E754" t="s">
        <v>409</v>
      </c>
      <c r="F754" t="s">
        <v>193</v>
      </c>
      <c r="G754" t="s">
        <v>193</v>
      </c>
      <c r="H754" t="s">
        <v>193</v>
      </c>
      <c r="I754" t="s">
        <v>193</v>
      </c>
      <c r="J754" t="s">
        <v>193</v>
      </c>
      <c r="K754" t="s">
        <v>193</v>
      </c>
      <c r="L754">
        <v>21.4</v>
      </c>
      <c r="M754">
        <v>21.7</v>
      </c>
      <c r="N754" t="s">
        <v>193</v>
      </c>
      <c r="O754" t="s">
        <v>193</v>
      </c>
      <c r="P754" t="s">
        <v>193</v>
      </c>
    </row>
    <row r="755" spans="1:16" ht="12.75">
      <c r="A755" s="62" t="str">
        <f t="shared" si="12"/>
        <v>Macedonia, FYR_Poverty headcount ratio at $2 a day (PPP) (% of population)</v>
      </c>
      <c r="B755" t="s">
        <v>493</v>
      </c>
      <c r="C755" t="s">
        <v>494</v>
      </c>
      <c r="D755" t="s">
        <v>410</v>
      </c>
      <c r="E755" t="s">
        <v>411</v>
      </c>
      <c r="F755" t="s">
        <v>193</v>
      </c>
      <c r="G755" t="s">
        <v>193</v>
      </c>
      <c r="H755">
        <v>4.01</v>
      </c>
      <c r="I755" t="s">
        <v>193</v>
      </c>
      <c r="J755" t="s">
        <v>193</v>
      </c>
      <c r="K755" t="s">
        <v>193</v>
      </c>
      <c r="L755" t="s">
        <v>193</v>
      </c>
      <c r="M755">
        <v>2</v>
      </c>
      <c r="N755" t="s">
        <v>193</v>
      </c>
      <c r="O755" t="s">
        <v>193</v>
      </c>
      <c r="P755" t="s">
        <v>193</v>
      </c>
    </row>
    <row r="756" spans="1:16" ht="12.75">
      <c r="A756" s="62" t="str">
        <f t="shared" si="12"/>
        <v>Macedonia, FYR_Poverty headcount ratio at $1 a day (PPP) (% of population)</v>
      </c>
      <c r="B756" t="s">
        <v>493</v>
      </c>
      <c r="C756" t="s">
        <v>494</v>
      </c>
      <c r="D756" t="s">
        <v>412</v>
      </c>
      <c r="E756" t="s">
        <v>413</v>
      </c>
      <c r="F756" t="s">
        <v>193</v>
      </c>
      <c r="G756" t="s">
        <v>193</v>
      </c>
      <c r="H756">
        <v>2</v>
      </c>
      <c r="I756" t="s">
        <v>193</v>
      </c>
      <c r="J756" t="s">
        <v>193</v>
      </c>
      <c r="K756" t="s">
        <v>193</v>
      </c>
      <c r="L756" t="s">
        <v>193</v>
      </c>
      <c r="M756">
        <v>2</v>
      </c>
      <c r="N756" t="s">
        <v>193</v>
      </c>
      <c r="O756" t="s">
        <v>193</v>
      </c>
      <c r="P756" t="s">
        <v>193</v>
      </c>
    </row>
    <row r="757" spans="1:16" ht="12.75">
      <c r="A757" s="62" t="str">
        <f t="shared" si="12"/>
        <v>Macedonia, FYR_Poverty gap at $1 a day (PPP) (%)</v>
      </c>
      <c r="B757" t="s">
        <v>493</v>
      </c>
      <c r="C757" t="s">
        <v>494</v>
      </c>
      <c r="D757" t="s">
        <v>414</v>
      </c>
      <c r="E757" t="s">
        <v>415</v>
      </c>
      <c r="F757" t="s">
        <v>193</v>
      </c>
      <c r="G757" t="s">
        <v>193</v>
      </c>
      <c r="H757">
        <v>0.71</v>
      </c>
      <c r="I757" t="s">
        <v>193</v>
      </c>
      <c r="J757" t="s">
        <v>193</v>
      </c>
      <c r="K757" t="s">
        <v>193</v>
      </c>
      <c r="L757" t="s">
        <v>193</v>
      </c>
      <c r="M757">
        <v>0.5</v>
      </c>
      <c r="N757" t="s">
        <v>193</v>
      </c>
      <c r="O757" t="s">
        <v>193</v>
      </c>
      <c r="P757" t="s">
        <v>193</v>
      </c>
    </row>
    <row r="758" spans="1:16" ht="12.75">
      <c r="A758" s="62" t="str">
        <f t="shared" si="12"/>
        <v>Macedonia, FYR_Poverty gap at $2 a day (PPP) (%)</v>
      </c>
      <c r="B758" t="s">
        <v>493</v>
      </c>
      <c r="C758" t="s">
        <v>494</v>
      </c>
      <c r="D758" t="s">
        <v>416</v>
      </c>
      <c r="E758" t="s">
        <v>417</v>
      </c>
      <c r="F758" t="s">
        <v>193</v>
      </c>
      <c r="G758" t="s">
        <v>193</v>
      </c>
      <c r="H758">
        <v>0.6</v>
      </c>
      <c r="I758" t="s">
        <v>193</v>
      </c>
      <c r="J758" t="s">
        <v>193</v>
      </c>
      <c r="K758" t="s">
        <v>193</v>
      </c>
      <c r="L758" t="s">
        <v>193</v>
      </c>
      <c r="M758">
        <v>0.5</v>
      </c>
      <c r="N758" t="s">
        <v>193</v>
      </c>
      <c r="O758" t="s">
        <v>193</v>
      </c>
      <c r="P758" t="s">
        <v>193</v>
      </c>
    </row>
    <row r="759" spans="1:16" ht="12.75">
      <c r="A759" s="62" t="str">
        <f t="shared" si="12"/>
        <v>Macedonia, FYR_Population, total</v>
      </c>
      <c r="B759" t="s">
        <v>493</v>
      </c>
      <c r="C759" t="s">
        <v>494</v>
      </c>
      <c r="D759" t="s">
        <v>418</v>
      </c>
      <c r="E759" t="s">
        <v>419</v>
      </c>
      <c r="F759">
        <v>1973452</v>
      </c>
      <c r="G759">
        <v>1983372</v>
      </c>
      <c r="H759">
        <v>1992959</v>
      </c>
      <c r="I759">
        <v>2001775</v>
      </c>
      <c r="J759">
        <v>2009514</v>
      </c>
      <c r="K759">
        <v>2016113</v>
      </c>
      <c r="L759">
        <v>2021706</v>
      </c>
      <c r="M759">
        <v>2026430</v>
      </c>
      <c r="N759">
        <v>2030491</v>
      </c>
      <c r="O759">
        <v>2034060</v>
      </c>
      <c r="P759">
        <v>2037833.96963967</v>
      </c>
    </row>
    <row r="760" spans="1:16" ht="12.75">
      <c r="A760" s="62" t="str">
        <f t="shared" si="12"/>
        <v>Macedonia, FYR_Public spending on education, total (% of GDP)</v>
      </c>
      <c r="B760" t="s">
        <v>493</v>
      </c>
      <c r="C760" t="s">
        <v>494</v>
      </c>
      <c r="D760" t="s">
        <v>420</v>
      </c>
      <c r="E760" t="s">
        <v>421</v>
      </c>
      <c r="F760" t="s">
        <v>193</v>
      </c>
      <c r="G760" t="s">
        <v>193</v>
      </c>
      <c r="H760" t="s">
        <v>193</v>
      </c>
      <c r="I760">
        <v>4.12021744028292</v>
      </c>
      <c r="J760" t="s">
        <v>193</v>
      </c>
      <c r="K760" t="s">
        <v>193</v>
      </c>
      <c r="L760">
        <v>3.49779373416276</v>
      </c>
      <c r="M760" t="s">
        <v>193</v>
      </c>
      <c r="N760" t="s">
        <v>193</v>
      </c>
      <c r="O760" t="s">
        <v>193</v>
      </c>
      <c r="P760" t="s">
        <v>193</v>
      </c>
    </row>
    <row r="761" spans="1:16" ht="12.75">
      <c r="A761" s="62" t="str">
        <f t="shared" si="12"/>
        <v>Macedonia, FYR_Public spending on education, total (% of government expenditure)</v>
      </c>
      <c r="B761" t="s">
        <v>493</v>
      </c>
      <c r="C761" t="s">
        <v>494</v>
      </c>
      <c r="D761" t="s">
        <v>422</v>
      </c>
      <c r="E761" t="s">
        <v>423</v>
      </c>
      <c r="F761" t="s">
        <v>193</v>
      </c>
      <c r="G761" t="s">
        <v>193</v>
      </c>
      <c r="H761" t="s">
        <v>193</v>
      </c>
      <c r="I761" t="s">
        <v>193</v>
      </c>
      <c r="J761" t="s">
        <v>193</v>
      </c>
      <c r="K761" t="s">
        <v>193</v>
      </c>
      <c r="L761">
        <v>15.624652951516</v>
      </c>
      <c r="M761" t="s">
        <v>193</v>
      </c>
      <c r="N761" t="s">
        <v>193</v>
      </c>
      <c r="O761" t="s">
        <v>193</v>
      </c>
      <c r="P761" t="s">
        <v>193</v>
      </c>
    </row>
    <row r="762" spans="1:16" ht="12.75">
      <c r="A762" s="62" t="str">
        <f t="shared" si="12"/>
        <v>Macedonia, FYR_Health expenditure, public (% of total health expenditure)</v>
      </c>
      <c r="B762" t="s">
        <v>493</v>
      </c>
      <c r="C762" t="s">
        <v>494</v>
      </c>
      <c r="D762" t="s">
        <v>424</v>
      </c>
      <c r="E762" t="s">
        <v>425</v>
      </c>
      <c r="F762" t="s">
        <v>193</v>
      </c>
      <c r="G762" t="s">
        <v>193</v>
      </c>
      <c r="H762" t="s">
        <v>193</v>
      </c>
      <c r="I762" t="s">
        <v>193</v>
      </c>
      <c r="J762">
        <v>70.4</v>
      </c>
      <c r="K762">
        <v>71.9</v>
      </c>
      <c r="L762">
        <v>71.2</v>
      </c>
      <c r="M762">
        <v>72.3</v>
      </c>
      <c r="N762">
        <v>71</v>
      </c>
      <c r="O762" t="s">
        <v>193</v>
      </c>
      <c r="P762" t="s">
        <v>193</v>
      </c>
    </row>
    <row r="763" spans="1:16" ht="12.75">
      <c r="A763" s="62" t="str">
        <f t="shared" si="12"/>
        <v>Macedonia, FYR_Health expenditure, public (% of GDP)</v>
      </c>
      <c r="B763" t="s">
        <v>493</v>
      </c>
      <c r="C763" t="s">
        <v>494</v>
      </c>
      <c r="D763" t="s">
        <v>426</v>
      </c>
      <c r="E763" t="s">
        <v>427</v>
      </c>
      <c r="F763" t="s">
        <v>193</v>
      </c>
      <c r="G763" t="s">
        <v>193</v>
      </c>
      <c r="H763" t="s">
        <v>193</v>
      </c>
      <c r="I763" t="s">
        <v>193</v>
      </c>
      <c r="J763">
        <v>5.28</v>
      </c>
      <c r="K763">
        <v>5.3206</v>
      </c>
      <c r="L763">
        <v>5.696</v>
      </c>
      <c r="M763">
        <v>5.9286</v>
      </c>
      <c r="N763">
        <v>5.68</v>
      </c>
      <c r="O763" t="s">
        <v>193</v>
      </c>
      <c r="P763" t="s">
        <v>193</v>
      </c>
    </row>
    <row r="764" spans="1:16" ht="12.75">
      <c r="A764" s="62" t="str">
        <f t="shared" si="12"/>
        <v>Macedonia, FYR_Health expenditure, total (% of GDP)</v>
      </c>
      <c r="B764" t="s">
        <v>493</v>
      </c>
      <c r="C764" t="s">
        <v>494</v>
      </c>
      <c r="D764" t="s">
        <v>428</v>
      </c>
      <c r="E764" t="s">
        <v>429</v>
      </c>
      <c r="F764" t="s">
        <v>193</v>
      </c>
      <c r="G764" t="s">
        <v>193</v>
      </c>
      <c r="H764" t="s">
        <v>193</v>
      </c>
      <c r="I764" t="s">
        <v>193</v>
      </c>
      <c r="J764">
        <v>7.5</v>
      </c>
      <c r="K764">
        <v>7.4</v>
      </c>
      <c r="L764">
        <v>8</v>
      </c>
      <c r="M764">
        <v>8.2</v>
      </c>
      <c r="N764">
        <v>8</v>
      </c>
      <c r="O764" t="s">
        <v>193</v>
      </c>
      <c r="P764" t="s">
        <v>193</v>
      </c>
    </row>
    <row r="765" spans="1:16" ht="12.75">
      <c r="A765" s="62" t="str">
        <f t="shared" si="12"/>
        <v>Macedonia, FYR_GDP (current LCU)</v>
      </c>
      <c r="B765" t="s">
        <v>493</v>
      </c>
      <c r="C765" t="s">
        <v>494</v>
      </c>
      <c r="D765" t="s">
        <v>430</v>
      </c>
      <c r="E765" t="s">
        <v>431</v>
      </c>
      <c r="F765">
        <v>176444178432</v>
      </c>
      <c r="G765">
        <v>186018545664</v>
      </c>
      <c r="H765">
        <v>194978955264</v>
      </c>
      <c r="I765">
        <v>209010098176</v>
      </c>
      <c r="J765">
        <v>236390006784</v>
      </c>
      <c r="K765">
        <v>233841000448</v>
      </c>
      <c r="L765">
        <v>243969802240</v>
      </c>
      <c r="M765">
        <v>251485995008</v>
      </c>
      <c r="N765">
        <v>265257402368</v>
      </c>
      <c r="O765">
        <v>284225994752</v>
      </c>
      <c r="P765">
        <v>303305392128</v>
      </c>
    </row>
    <row r="766" spans="1:16" ht="12.75">
      <c r="A766" s="62" t="str">
        <f t="shared" si="12"/>
        <v>Macedonia, FYR_GDP (current US$)</v>
      </c>
      <c r="B766" t="s">
        <v>493</v>
      </c>
      <c r="C766" t="s">
        <v>494</v>
      </c>
      <c r="D766" t="s">
        <v>432</v>
      </c>
      <c r="E766" t="s">
        <v>433</v>
      </c>
      <c r="F766">
        <v>4422159872</v>
      </c>
      <c r="G766">
        <v>3735312128</v>
      </c>
      <c r="H766">
        <v>3571043328</v>
      </c>
      <c r="I766">
        <v>3673288192</v>
      </c>
      <c r="J766">
        <v>3586884096</v>
      </c>
      <c r="K766">
        <v>3436961280</v>
      </c>
      <c r="L766">
        <v>3791306752</v>
      </c>
      <c r="M766">
        <v>4629520384</v>
      </c>
      <c r="N766">
        <v>5368441856</v>
      </c>
      <c r="O766">
        <v>5766178816</v>
      </c>
      <c r="P766">
        <v>6217132544</v>
      </c>
    </row>
    <row r="767" spans="1:16" ht="12.75">
      <c r="A767" s="62" t="str">
        <f t="shared" si="12"/>
        <v>Macedonia, FYR_GDP per capita, PPP (current international $)</v>
      </c>
      <c r="B767" t="s">
        <v>493</v>
      </c>
      <c r="C767" t="s">
        <v>494</v>
      </c>
      <c r="D767" t="s">
        <v>434</v>
      </c>
      <c r="E767" t="s">
        <v>435</v>
      </c>
      <c r="F767">
        <v>5058.25171365194</v>
      </c>
      <c r="G767">
        <v>5190.71331762671</v>
      </c>
      <c r="H767">
        <v>5399.61457512949</v>
      </c>
      <c r="I767">
        <v>5690.15165429493</v>
      </c>
      <c r="J767">
        <v>6055.26837148479</v>
      </c>
      <c r="K767">
        <v>5901.12718264832</v>
      </c>
      <c r="L767">
        <v>6038.89459792137</v>
      </c>
      <c r="M767">
        <v>6320.57715473526</v>
      </c>
      <c r="N767">
        <v>6737.59062050523</v>
      </c>
      <c r="O767">
        <v>7189.3432406731</v>
      </c>
      <c r="P767">
        <v>7612.29294499336</v>
      </c>
    </row>
    <row r="768" spans="1:16" ht="12.75">
      <c r="A768" s="62" t="str">
        <f t="shared" si="12"/>
        <v>Macedonia, FYR_GDP per capita, PPP (constant 2000 international $)</v>
      </c>
      <c r="B768" t="s">
        <v>493</v>
      </c>
      <c r="C768" t="s">
        <v>494</v>
      </c>
      <c r="D768" t="s">
        <v>436</v>
      </c>
      <c r="E768" t="s">
        <v>437</v>
      </c>
      <c r="F768">
        <v>5390.00332041298</v>
      </c>
      <c r="G768">
        <v>5440.28068603291</v>
      </c>
      <c r="H768">
        <v>5597.04056126813</v>
      </c>
      <c r="I768">
        <v>5814.18872842414</v>
      </c>
      <c r="J768">
        <v>6055.26837148479</v>
      </c>
      <c r="K768">
        <v>5762.32386919963</v>
      </c>
      <c r="L768">
        <v>5795.4277147041</v>
      </c>
      <c r="M768">
        <v>5944.76396875874</v>
      </c>
      <c r="N768">
        <v>6174.95206519332</v>
      </c>
      <c r="O768">
        <v>6396.04637418867</v>
      </c>
      <c r="P768">
        <v>6579.6645557595</v>
      </c>
    </row>
    <row r="769" spans="1:16" ht="12.75">
      <c r="A769" s="62" t="str">
        <f t="shared" si="12"/>
        <v>Macedonia, FYR_GINI index</v>
      </c>
      <c r="B769" t="s">
        <v>493</v>
      </c>
      <c r="C769" t="s">
        <v>494</v>
      </c>
      <c r="D769" t="s">
        <v>438</v>
      </c>
      <c r="E769" t="s">
        <v>439</v>
      </c>
      <c r="F769" t="s">
        <v>193</v>
      </c>
      <c r="G769" t="s">
        <v>193</v>
      </c>
      <c r="H769">
        <v>28.21</v>
      </c>
      <c r="I769" t="s">
        <v>193</v>
      </c>
      <c r="J769" t="s">
        <v>193</v>
      </c>
      <c r="K769" t="s">
        <v>193</v>
      </c>
      <c r="L769" t="s">
        <v>193</v>
      </c>
      <c r="M769">
        <v>38.985</v>
      </c>
      <c r="N769" t="s">
        <v>193</v>
      </c>
      <c r="O769" t="s">
        <v>193</v>
      </c>
      <c r="P769" t="s">
        <v>193</v>
      </c>
    </row>
    <row r="770" spans="1:16" ht="12.75">
      <c r="A770" s="62" t="str">
        <f t="shared" si="12"/>
        <v>Madagascar_Poverty headcount ratio at national poverty line (% of population)</v>
      </c>
      <c r="B770" t="s">
        <v>495</v>
      </c>
      <c r="C770" t="s">
        <v>194</v>
      </c>
      <c r="D770" t="s">
        <v>408</v>
      </c>
      <c r="E770" t="s">
        <v>409</v>
      </c>
      <c r="F770" t="s">
        <v>193</v>
      </c>
      <c r="G770">
        <v>73.3</v>
      </c>
      <c r="H770" t="s">
        <v>193</v>
      </c>
      <c r="I770">
        <v>71.3</v>
      </c>
      <c r="J770" t="s">
        <v>193</v>
      </c>
      <c r="K770" t="s">
        <v>193</v>
      </c>
      <c r="L770" t="s">
        <v>193</v>
      </c>
      <c r="M770" t="s">
        <v>193</v>
      </c>
      <c r="N770" t="s">
        <v>193</v>
      </c>
      <c r="O770" t="s">
        <v>193</v>
      </c>
      <c r="P770" t="s">
        <v>193</v>
      </c>
    </row>
    <row r="771" spans="1:16" ht="12.75">
      <c r="A771" s="62" t="str">
        <f t="shared" si="12"/>
        <v>Madagascar_Poverty headcount ratio at $2 a day (PPP) (% of population)</v>
      </c>
      <c r="B771" t="s">
        <v>495</v>
      </c>
      <c r="C771" t="s">
        <v>194</v>
      </c>
      <c r="D771" t="s">
        <v>410</v>
      </c>
      <c r="E771" t="s">
        <v>411</v>
      </c>
      <c r="F771" t="s">
        <v>193</v>
      </c>
      <c r="G771" t="s">
        <v>193</v>
      </c>
      <c r="H771" t="s">
        <v>193</v>
      </c>
      <c r="I771">
        <v>90.23</v>
      </c>
      <c r="J771" t="s">
        <v>193</v>
      </c>
      <c r="K771">
        <v>85.1</v>
      </c>
      <c r="L771" t="s">
        <v>193</v>
      </c>
      <c r="M771" t="s">
        <v>193</v>
      </c>
      <c r="N771" t="s">
        <v>193</v>
      </c>
      <c r="O771" t="s">
        <v>193</v>
      </c>
      <c r="P771" t="s">
        <v>193</v>
      </c>
    </row>
    <row r="772" spans="1:16" ht="12.75">
      <c r="A772" s="62" t="str">
        <f t="shared" si="12"/>
        <v>Madagascar_Poverty headcount ratio at $1 a day (PPP) (% of population)</v>
      </c>
      <c r="B772" t="s">
        <v>495</v>
      </c>
      <c r="C772" t="s">
        <v>194</v>
      </c>
      <c r="D772" t="s">
        <v>412</v>
      </c>
      <c r="E772" t="s">
        <v>413</v>
      </c>
      <c r="F772" t="s">
        <v>193</v>
      </c>
      <c r="G772" t="s">
        <v>193</v>
      </c>
      <c r="H772" t="s">
        <v>193</v>
      </c>
      <c r="I772">
        <v>66.03</v>
      </c>
      <c r="J772" t="s">
        <v>193</v>
      </c>
      <c r="K772">
        <v>61.03</v>
      </c>
      <c r="L772" t="s">
        <v>193</v>
      </c>
      <c r="M772" t="s">
        <v>193</v>
      </c>
      <c r="N772" t="s">
        <v>193</v>
      </c>
      <c r="O772" t="s">
        <v>193</v>
      </c>
      <c r="P772" t="s">
        <v>193</v>
      </c>
    </row>
    <row r="773" spans="1:16" ht="12.75">
      <c r="A773" s="62" t="str">
        <f t="shared" si="12"/>
        <v>Madagascar_Poverty gap at $1 a day (PPP) (%)</v>
      </c>
      <c r="B773" t="s">
        <v>495</v>
      </c>
      <c r="C773" t="s">
        <v>194</v>
      </c>
      <c r="D773" t="s">
        <v>414</v>
      </c>
      <c r="E773" t="s">
        <v>415</v>
      </c>
      <c r="F773" t="s">
        <v>193</v>
      </c>
      <c r="G773" t="s">
        <v>193</v>
      </c>
      <c r="H773" t="s">
        <v>193</v>
      </c>
      <c r="I773">
        <v>29.42</v>
      </c>
      <c r="J773" t="s">
        <v>193</v>
      </c>
      <c r="K773">
        <v>27.9</v>
      </c>
      <c r="L773" t="s">
        <v>193</v>
      </c>
      <c r="M773" t="s">
        <v>193</v>
      </c>
      <c r="N773" t="s">
        <v>193</v>
      </c>
      <c r="O773" t="s">
        <v>193</v>
      </c>
      <c r="P773" t="s">
        <v>193</v>
      </c>
    </row>
    <row r="774" spans="1:16" ht="12.75">
      <c r="A774" s="62" t="str">
        <f t="shared" si="12"/>
        <v>Madagascar_Poverty gap at $2 a day (PPP) (%)</v>
      </c>
      <c r="B774" t="s">
        <v>495</v>
      </c>
      <c r="C774" t="s">
        <v>194</v>
      </c>
      <c r="D774" t="s">
        <v>416</v>
      </c>
      <c r="E774" t="s">
        <v>417</v>
      </c>
      <c r="F774" t="s">
        <v>193</v>
      </c>
      <c r="G774" t="s">
        <v>193</v>
      </c>
      <c r="H774" t="s">
        <v>193</v>
      </c>
      <c r="I774">
        <v>55.35</v>
      </c>
      <c r="J774" t="s">
        <v>193</v>
      </c>
      <c r="K774">
        <v>51.75</v>
      </c>
      <c r="L774" t="s">
        <v>193</v>
      </c>
      <c r="M774" t="s">
        <v>193</v>
      </c>
      <c r="N774" t="s">
        <v>193</v>
      </c>
      <c r="O774" t="s">
        <v>193</v>
      </c>
      <c r="P774" t="s">
        <v>193</v>
      </c>
    </row>
    <row r="775" spans="1:16" ht="12.75">
      <c r="A775" s="62" t="str">
        <f t="shared" si="12"/>
        <v>Madagascar_Population, total</v>
      </c>
      <c r="B775" t="s">
        <v>495</v>
      </c>
      <c r="C775" t="s">
        <v>194</v>
      </c>
      <c r="D775" t="s">
        <v>418</v>
      </c>
      <c r="E775" t="s">
        <v>419</v>
      </c>
      <c r="F775">
        <v>14371234</v>
      </c>
      <c r="G775">
        <v>14812193</v>
      </c>
      <c r="H775">
        <v>15265565</v>
      </c>
      <c r="I775">
        <v>15727498</v>
      </c>
      <c r="J775">
        <v>16195064</v>
      </c>
      <c r="K775">
        <v>16667109</v>
      </c>
      <c r="L775">
        <v>17143873</v>
      </c>
      <c r="M775">
        <v>17625521</v>
      </c>
      <c r="N775">
        <v>18112725</v>
      </c>
      <c r="O775">
        <v>18605921</v>
      </c>
      <c r="P775">
        <v>19086826.1064993</v>
      </c>
    </row>
    <row r="776" spans="1:16" ht="12.75">
      <c r="A776" s="62" t="str">
        <f t="shared" si="12"/>
        <v>Madagascar_Public spending on education, total (% of GDP)</v>
      </c>
      <c r="B776" t="s">
        <v>495</v>
      </c>
      <c r="C776" t="s">
        <v>194</v>
      </c>
      <c r="D776" t="s">
        <v>420</v>
      </c>
      <c r="E776" t="s">
        <v>421</v>
      </c>
      <c r="F776" t="s">
        <v>193</v>
      </c>
      <c r="G776" t="s">
        <v>193</v>
      </c>
      <c r="H776" t="s">
        <v>193</v>
      </c>
      <c r="I776">
        <v>2.49430635910015</v>
      </c>
      <c r="J776">
        <v>3.16892408474828</v>
      </c>
      <c r="K776">
        <v>2.85048804766478</v>
      </c>
      <c r="L776" t="s">
        <v>193</v>
      </c>
      <c r="M776" t="s">
        <v>193</v>
      </c>
      <c r="N776">
        <v>3.2899011878745</v>
      </c>
      <c r="O776">
        <v>3.1931471525334</v>
      </c>
      <c r="P776" t="s">
        <v>193</v>
      </c>
    </row>
    <row r="777" spans="1:16" ht="12.75">
      <c r="A777" s="62" t="str">
        <f t="shared" si="12"/>
        <v>Madagascar_Public spending on education, total (% of government expenditure)</v>
      </c>
      <c r="B777" t="s">
        <v>495</v>
      </c>
      <c r="C777" t="s">
        <v>194</v>
      </c>
      <c r="D777" t="s">
        <v>422</v>
      </c>
      <c r="E777" t="s">
        <v>423</v>
      </c>
      <c r="F777" t="s">
        <v>193</v>
      </c>
      <c r="G777" t="s">
        <v>193</v>
      </c>
      <c r="H777" t="s">
        <v>193</v>
      </c>
      <c r="I777" t="s">
        <v>193</v>
      </c>
      <c r="J777" t="s">
        <v>193</v>
      </c>
      <c r="K777" t="s">
        <v>193</v>
      </c>
      <c r="L777" t="s">
        <v>193</v>
      </c>
      <c r="M777" t="s">
        <v>193</v>
      </c>
      <c r="N777">
        <v>18.1831797235023</v>
      </c>
      <c r="O777">
        <v>25.2966345133446</v>
      </c>
      <c r="P777" t="s">
        <v>193</v>
      </c>
    </row>
    <row r="778" spans="1:16" ht="12.75">
      <c r="A778" s="62" t="str">
        <f t="shared" si="12"/>
        <v>Madagascar_Health expenditure, public (% of total health expenditure)</v>
      </c>
      <c r="B778" t="s">
        <v>495</v>
      </c>
      <c r="C778" t="s">
        <v>194</v>
      </c>
      <c r="D778" t="s">
        <v>424</v>
      </c>
      <c r="E778" t="s">
        <v>425</v>
      </c>
      <c r="F778" t="s">
        <v>193</v>
      </c>
      <c r="G778" t="s">
        <v>193</v>
      </c>
      <c r="H778" t="s">
        <v>193</v>
      </c>
      <c r="I778" t="s">
        <v>193</v>
      </c>
      <c r="J778">
        <v>49.9</v>
      </c>
      <c r="K778">
        <v>67.4</v>
      </c>
      <c r="L778">
        <v>68.2</v>
      </c>
      <c r="M778">
        <v>64</v>
      </c>
      <c r="N778">
        <v>59.1</v>
      </c>
      <c r="O778" t="s">
        <v>193</v>
      </c>
      <c r="P778" t="s">
        <v>193</v>
      </c>
    </row>
    <row r="779" spans="1:16" ht="12.75">
      <c r="A779" s="62" t="str">
        <f t="shared" si="12"/>
        <v>Madagascar_Health expenditure, public (% of GDP)</v>
      </c>
      <c r="B779" t="s">
        <v>495</v>
      </c>
      <c r="C779" t="s">
        <v>194</v>
      </c>
      <c r="D779" t="s">
        <v>426</v>
      </c>
      <c r="E779" t="s">
        <v>427</v>
      </c>
      <c r="F779" t="s">
        <v>193</v>
      </c>
      <c r="G779" t="s">
        <v>193</v>
      </c>
      <c r="H779" t="s">
        <v>193</v>
      </c>
      <c r="I779" t="s">
        <v>193</v>
      </c>
      <c r="J779">
        <v>1.2475</v>
      </c>
      <c r="K779">
        <v>2.4938</v>
      </c>
      <c r="L779">
        <v>2.728</v>
      </c>
      <c r="M779">
        <v>2.24</v>
      </c>
      <c r="N779">
        <v>1.773</v>
      </c>
      <c r="O779" t="s">
        <v>193</v>
      </c>
      <c r="P779" t="s">
        <v>193</v>
      </c>
    </row>
    <row r="780" spans="1:16" ht="12.75">
      <c r="A780" s="62" t="str">
        <f t="shared" si="12"/>
        <v>Madagascar_Health expenditure, total (% of GDP)</v>
      </c>
      <c r="B780" t="s">
        <v>495</v>
      </c>
      <c r="C780" t="s">
        <v>194</v>
      </c>
      <c r="D780" t="s">
        <v>428</v>
      </c>
      <c r="E780" t="s">
        <v>429</v>
      </c>
      <c r="F780" t="s">
        <v>193</v>
      </c>
      <c r="G780" t="s">
        <v>193</v>
      </c>
      <c r="H780" t="s">
        <v>193</v>
      </c>
      <c r="I780" t="s">
        <v>193</v>
      </c>
      <c r="J780">
        <v>2.5</v>
      </c>
      <c r="K780">
        <v>3.7</v>
      </c>
      <c r="L780">
        <v>4</v>
      </c>
      <c r="M780">
        <v>3.5</v>
      </c>
      <c r="N780">
        <v>3</v>
      </c>
      <c r="O780" t="s">
        <v>193</v>
      </c>
      <c r="P780" t="s">
        <v>193</v>
      </c>
    </row>
    <row r="781" spans="1:16" ht="12.75">
      <c r="A781" s="62" t="str">
        <f t="shared" si="12"/>
        <v>Madagascar_GDP (current LCU)</v>
      </c>
      <c r="B781" t="s">
        <v>495</v>
      </c>
      <c r="C781" t="s">
        <v>194</v>
      </c>
      <c r="D781" t="s">
        <v>430</v>
      </c>
      <c r="E781" t="s">
        <v>431</v>
      </c>
      <c r="F781">
        <v>3244963135488</v>
      </c>
      <c r="G781">
        <v>3610229080064</v>
      </c>
      <c r="H781">
        <v>4068756160512</v>
      </c>
      <c r="I781">
        <v>4672005865472</v>
      </c>
      <c r="J781">
        <v>5248416481280</v>
      </c>
      <c r="K781">
        <v>5968616226816</v>
      </c>
      <c r="L781">
        <v>6008369840128</v>
      </c>
      <c r="M781">
        <v>6778643283968</v>
      </c>
      <c r="N781">
        <v>8155594489856</v>
      </c>
      <c r="O781">
        <v>10095200043008</v>
      </c>
      <c r="P781">
        <v>11780999872512</v>
      </c>
    </row>
    <row r="782" spans="1:16" ht="12.75">
      <c r="A782" s="62" t="str">
        <f t="shared" si="12"/>
        <v>Madagascar_GDP (current US$)</v>
      </c>
      <c r="B782" t="s">
        <v>495</v>
      </c>
      <c r="C782" t="s">
        <v>194</v>
      </c>
      <c r="D782" t="s">
        <v>432</v>
      </c>
      <c r="E782" t="s">
        <v>433</v>
      </c>
      <c r="F782">
        <v>3994890752</v>
      </c>
      <c r="G782">
        <v>3545687040</v>
      </c>
      <c r="H782">
        <v>3738620416</v>
      </c>
      <c r="I782">
        <v>3717416704</v>
      </c>
      <c r="J782">
        <v>3877575168</v>
      </c>
      <c r="K782">
        <v>4529468928</v>
      </c>
      <c r="L782">
        <v>4397127168</v>
      </c>
      <c r="M782">
        <v>5473940480</v>
      </c>
      <c r="N782">
        <v>4363847680</v>
      </c>
      <c r="O782">
        <v>5039974400</v>
      </c>
      <c r="P782">
        <v>5499229696</v>
      </c>
    </row>
    <row r="783" spans="1:16" ht="12.75">
      <c r="A783" s="62" t="str">
        <f t="shared" si="12"/>
        <v>Madagascar_GDP per capita, PPP (current international $)</v>
      </c>
      <c r="B783" t="s">
        <v>495</v>
      </c>
      <c r="C783" t="s">
        <v>194</v>
      </c>
      <c r="D783" t="s">
        <v>434</v>
      </c>
      <c r="E783" t="s">
        <v>435</v>
      </c>
      <c r="F783">
        <v>754.999986702554</v>
      </c>
      <c r="G783">
        <v>772.266993402498</v>
      </c>
      <c r="H783">
        <v>787.45041850339</v>
      </c>
      <c r="I783">
        <v>811.49143760172</v>
      </c>
      <c r="J783">
        <v>843.571608440059</v>
      </c>
      <c r="K783">
        <v>889.939656066042</v>
      </c>
      <c r="L783">
        <v>768.760678879054</v>
      </c>
      <c r="M783">
        <v>837.671354370924</v>
      </c>
      <c r="N783">
        <v>880.565927825447</v>
      </c>
      <c r="O783">
        <v>923.578021795429</v>
      </c>
      <c r="P783">
        <v>972.005646479556</v>
      </c>
    </row>
    <row r="784" spans="1:16" ht="12.75">
      <c r="A784" s="62" t="str">
        <f t="shared" si="12"/>
        <v>Madagascar_GDP per capita, PPP (constant 2000 international $)</v>
      </c>
      <c r="B784" t="s">
        <v>495</v>
      </c>
      <c r="C784" t="s">
        <v>194</v>
      </c>
      <c r="D784" t="s">
        <v>436</v>
      </c>
      <c r="E784" t="s">
        <v>437</v>
      </c>
      <c r="F784">
        <v>804.517581490716</v>
      </c>
      <c r="G784">
        <v>809.397273858548</v>
      </c>
      <c r="H784">
        <v>816.241950425756</v>
      </c>
      <c r="I784">
        <v>829.180776957913</v>
      </c>
      <c r="J784">
        <v>843.571608440059</v>
      </c>
      <c r="K784">
        <v>869.006947922659</v>
      </c>
      <c r="L784">
        <v>737.766965809265</v>
      </c>
      <c r="M784">
        <v>787.864519839752</v>
      </c>
      <c r="N784">
        <v>807.032172304479</v>
      </c>
      <c r="O784">
        <v>821.667245509332</v>
      </c>
      <c r="P784">
        <v>840.150418061087</v>
      </c>
    </row>
    <row r="785" spans="1:16" ht="12.75">
      <c r="A785" s="62" t="str">
        <f t="shared" si="12"/>
        <v>Madagascar_GINI index</v>
      </c>
      <c r="B785" t="s">
        <v>495</v>
      </c>
      <c r="C785" t="s">
        <v>194</v>
      </c>
      <c r="D785" t="s">
        <v>438</v>
      </c>
      <c r="E785" t="s">
        <v>439</v>
      </c>
      <c r="F785" t="s">
        <v>193</v>
      </c>
      <c r="G785" t="s">
        <v>193</v>
      </c>
      <c r="H785" t="s">
        <v>193</v>
      </c>
      <c r="I785">
        <v>41.81</v>
      </c>
      <c r="J785" t="s">
        <v>193</v>
      </c>
      <c r="K785">
        <v>47.45</v>
      </c>
      <c r="L785" t="s">
        <v>193</v>
      </c>
      <c r="M785" t="s">
        <v>193</v>
      </c>
      <c r="N785" t="s">
        <v>193</v>
      </c>
      <c r="O785" t="s">
        <v>193</v>
      </c>
      <c r="P785" t="s">
        <v>193</v>
      </c>
    </row>
    <row r="786" spans="1:16" ht="12.75">
      <c r="A786" s="62" t="str">
        <f t="shared" si="12"/>
        <v>Malawi_Poverty headcount ratio at national poverty line (% of population)</v>
      </c>
      <c r="B786" t="s">
        <v>496</v>
      </c>
      <c r="C786" t="s">
        <v>192</v>
      </c>
      <c r="D786" t="s">
        <v>408</v>
      </c>
      <c r="E786" t="s">
        <v>409</v>
      </c>
      <c r="F786" t="s">
        <v>193</v>
      </c>
      <c r="G786" t="s">
        <v>193</v>
      </c>
      <c r="H786">
        <v>65.3</v>
      </c>
      <c r="I786" t="s">
        <v>193</v>
      </c>
      <c r="J786" t="s">
        <v>193</v>
      </c>
      <c r="K786" t="s">
        <v>193</v>
      </c>
      <c r="L786" t="s">
        <v>193</v>
      </c>
      <c r="M786" t="s">
        <v>193</v>
      </c>
      <c r="N786" t="s">
        <v>193</v>
      </c>
      <c r="O786" t="s">
        <v>193</v>
      </c>
      <c r="P786" t="s">
        <v>193</v>
      </c>
    </row>
    <row r="787" spans="1:16" ht="12.75">
      <c r="A787" s="62" t="str">
        <f t="shared" si="12"/>
        <v>Malawi_Poverty headcount ratio at $2 a day (PPP) (% of population)</v>
      </c>
      <c r="B787" t="s">
        <v>496</v>
      </c>
      <c r="C787" t="s">
        <v>192</v>
      </c>
      <c r="D787" t="s">
        <v>410</v>
      </c>
      <c r="E787" t="s">
        <v>411</v>
      </c>
      <c r="F787" t="s">
        <v>193</v>
      </c>
      <c r="G787" t="s">
        <v>193</v>
      </c>
      <c r="H787" t="s">
        <v>193</v>
      </c>
      <c r="I787" t="s">
        <v>193</v>
      </c>
      <c r="J787" t="s">
        <v>193</v>
      </c>
      <c r="K787" t="s">
        <v>193</v>
      </c>
      <c r="L787" t="s">
        <v>193</v>
      </c>
      <c r="M787" t="s">
        <v>193</v>
      </c>
      <c r="N787">
        <v>62.945</v>
      </c>
      <c r="O787" t="s">
        <v>193</v>
      </c>
      <c r="P787" t="s">
        <v>193</v>
      </c>
    </row>
    <row r="788" spans="1:16" ht="12.75">
      <c r="A788" s="62" t="str">
        <f t="shared" si="12"/>
        <v>Malawi_Poverty headcount ratio at $1 a day (PPP) (% of population)</v>
      </c>
      <c r="B788" t="s">
        <v>496</v>
      </c>
      <c r="C788" t="s">
        <v>192</v>
      </c>
      <c r="D788" t="s">
        <v>412</v>
      </c>
      <c r="E788" t="s">
        <v>413</v>
      </c>
      <c r="F788" t="s">
        <v>193</v>
      </c>
      <c r="G788" t="s">
        <v>193</v>
      </c>
      <c r="H788" t="s">
        <v>193</v>
      </c>
      <c r="I788" t="s">
        <v>193</v>
      </c>
      <c r="J788" t="s">
        <v>193</v>
      </c>
      <c r="K788" t="s">
        <v>193</v>
      </c>
      <c r="L788" t="s">
        <v>193</v>
      </c>
      <c r="M788" t="s">
        <v>193</v>
      </c>
      <c r="N788">
        <v>20.759</v>
      </c>
      <c r="O788" t="s">
        <v>193</v>
      </c>
      <c r="P788" t="s">
        <v>193</v>
      </c>
    </row>
    <row r="789" spans="1:16" ht="12.75">
      <c r="A789" s="62" t="str">
        <f t="shared" si="12"/>
        <v>Malawi_Poverty gap at $1 a day (PPP) (%)</v>
      </c>
      <c r="B789" t="s">
        <v>496</v>
      </c>
      <c r="C789" t="s">
        <v>192</v>
      </c>
      <c r="D789" t="s">
        <v>414</v>
      </c>
      <c r="E789" t="s">
        <v>415</v>
      </c>
      <c r="F789" t="s">
        <v>193</v>
      </c>
      <c r="G789" t="s">
        <v>193</v>
      </c>
      <c r="H789" t="s">
        <v>193</v>
      </c>
      <c r="I789" t="s">
        <v>193</v>
      </c>
      <c r="J789" t="s">
        <v>193</v>
      </c>
      <c r="K789" t="s">
        <v>193</v>
      </c>
      <c r="L789" t="s">
        <v>193</v>
      </c>
      <c r="M789" t="s">
        <v>193</v>
      </c>
      <c r="N789">
        <v>4.71</v>
      </c>
      <c r="O789" t="s">
        <v>193</v>
      </c>
      <c r="P789" t="s">
        <v>193</v>
      </c>
    </row>
    <row r="790" spans="1:16" ht="12.75">
      <c r="A790" s="62" t="str">
        <f t="shared" si="12"/>
        <v>Malawi_Poverty gap at $2 a day (PPP) (%)</v>
      </c>
      <c r="B790" t="s">
        <v>496</v>
      </c>
      <c r="C790" t="s">
        <v>192</v>
      </c>
      <c r="D790" t="s">
        <v>416</v>
      </c>
      <c r="E790" t="s">
        <v>417</v>
      </c>
      <c r="F790" t="s">
        <v>193</v>
      </c>
      <c r="G790" t="s">
        <v>193</v>
      </c>
      <c r="H790" t="s">
        <v>193</v>
      </c>
      <c r="I790" t="s">
        <v>193</v>
      </c>
      <c r="J790" t="s">
        <v>193</v>
      </c>
      <c r="K790" t="s">
        <v>193</v>
      </c>
      <c r="L790" t="s">
        <v>193</v>
      </c>
      <c r="M790" t="s">
        <v>193</v>
      </c>
      <c r="N790">
        <v>24.29</v>
      </c>
      <c r="O790" t="s">
        <v>193</v>
      </c>
      <c r="P790" t="s">
        <v>193</v>
      </c>
    </row>
    <row r="791" spans="1:16" ht="12.75">
      <c r="A791" s="62" t="str">
        <f t="shared" si="12"/>
        <v>Malawi_Population, total</v>
      </c>
      <c r="B791" t="s">
        <v>496</v>
      </c>
      <c r="C791" t="s">
        <v>192</v>
      </c>
      <c r="D791" t="s">
        <v>418</v>
      </c>
      <c r="E791" t="s">
        <v>419</v>
      </c>
      <c r="F791">
        <v>10322119</v>
      </c>
      <c r="G791">
        <v>10590469</v>
      </c>
      <c r="H791">
        <v>10897080</v>
      </c>
      <c r="I791">
        <v>11211736</v>
      </c>
      <c r="J791">
        <v>11512454</v>
      </c>
      <c r="K791">
        <v>11795753</v>
      </c>
      <c r="L791">
        <v>12069949</v>
      </c>
      <c r="M791">
        <v>12338593</v>
      </c>
      <c r="N791">
        <v>12608271</v>
      </c>
      <c r="O791">
        <v>12883935</v>
      </c>
      <c r="P791">
        <v>13162994.7250271</v>
      </c>
    </row>
    <row r="792" spans="1:16" ht="12.75">
      <c r="A792" s="62" t="str">
        <f t="shared" si="12"/>
        <v>Malawi_Public spending on education, total (% of GDP)</v>
      </c>
      <c r="B792" t="s">
        <v>496</v>
      </c>
      <c r="C792" t="s">
        <v>192</v>
      </c>
      <c r="D792" t="s">
        <v>420</v>
      </c>
      <c r="E792" t="s">
        <v>421</v>
      </c>
      <c r="F792" t="s">
        <v>193</v>
      </c>
      <c r="G792" t="s">
        <v>193</v>
      </c>
      <c r="H792" t="s">
        <v>193</v>
      </c>
      <c r="I792">
        <v>4.55265504738021</v>
      </c>
      <c r="J792">
        <v>4.14146319058249</v>
      </c>
      <c r="K792" t="s">
        <v>193</v>
      </c>
      <c r="L792" t="s">
        <v>193</v>
      </c>
      <c r="M792">
        <v>5.81040395056946</v>
      </c>
      <c r="N792" t="s">
        <v>193</v>
      </c>
      <c r="O792" t="s">
        <v>193</v>
      </c>
      <c r="P792" t="s">
        <v>193</v>
      </c>
    </row>
    <row r="793" spans="1:16" ht="12.75">
      <c r="A793" s="62" t="str">
        <f t="shared" si="12"/>
        <v>Malawi_Public spending on education, total (% of government expenditure)</v>
      </c>
      <c r="B793" t="s">
        <v>496</v>
      </c>
      <c r="C793" t="s">
        <v>192</v>
      </c>
      <c r="D793" t="s">
        <v>422</v>
      </c>
      <c r="E793" t="s">
        <v>423</v>
      </c>
      <c r="F793" t="s">
        <v>193</v>
      </c>
      <c r="G793" t="s">
        <v>193</v>
      </c>
      <c r="H793" t="s">
        <v>193</v>
      </c>
      <c r="I793">
        <v>24.5814881423047</v>
      </c>
      <c r="J793" t="s">
        <v>193</v>
      </c>
      <c r="K793" t="s">
        <v>193</v>
      </c>
      <c r="L793" t="s">
        <v>193</v>
      </c>
      <c r="M793" t="s">
        <v>193</v>
      </c>
      <c r="N793" t="s">
        <v>193</v>
      </c>
      <c r="O793" t="s">
        <v>193</v>
      </c>
      <c r="P793" t="s">
        <v>193</v>
      </c>
    </row>
    <row r="794" spans="1:16" ht="12.75">
      <c r="A794" s="62" t="str">
        <f t="shared" si="12"/>
        <v>Malawi_Health expenditure, public (% of total health expenditure)</v>
      </c>
      <c r="B794" t="s">
        <v>496</v>
      </c>
      <c r="C794" t="s">
        <v>192</v>
      </c>
      <c r="D794" t="s">
        <v>424</v>
      </c>
      <c r="E794" t="s">
        <v>425</v>
      </c>
      <c r="F794" t="s">
        <v>193</v>
      </c>
      <c r="G794" t="s">
        <v>193</v>
      </c>
      <c r="H794" t="s">
        <v>193</v>
      </c>
      <c r="I794" t="s">
        <v>193</v>
      </c>
      <c r="J794">
        <v>43.9</v>
      </c>
      <c r="K794">
        <v>61.7</v>
      </c>
      <c r="L794">
        <v>73.1</v>
      </c>
      <c r="M794">
        <v>74.5</v>
      </c>
      <c r="N794">
        <v>74.7</v>
      </c>
      <c r="O794" t="s">
        <v>193</v>
      </c>
      <c r="P794" t="s">
        <v>193</v>
      </c>
    </row>
    <row r="795" spans="1:16" ht="12.75">
      <c r="A795" s="62" t="str">
        <f t="shared" si="12"/>
        <v>Malawi_Health expenditure, public (% of GDP)</v>
      </c>
      <c r="B795" t="s">
        <v>496</v>
      </c>
      <c r="C795" t="s">
        <v>192</v>
      </c>
      <c r="D795" t="s">
        <v>426</v>
      </c>
      <c r="E795" t="s">
        <v>427</v>
      </c>
      <c r="F795" t="s">
        <v>193</v>
      </c>
      <c r="G795" t="s">
        <v>193</v>
      </c>
      <c r="H795" t="s">
        <v>193</v>
      </c>
      <c r="I795" t="s">
        <v>193</v>
      </c>
      <c r="J795">
        <v>2.6779</v>
      </c>
      <c r="K795">
        <v>4.8126</v>
      </c>
      <c r="L795">
        <v>7.31</v>
      </c>
      <c r="M795">
        <v>9.536</v>
      </c>
      <c r="N795">
        <v>9.6363</v>
      </c>
      <c r="O795" t="s">
        <v>193</v>
      </c>
      <c r="P795" t="s">
        <v>193</v>
      </c>
    </row>
    <row r="796" spans="1:16" ht="12.75">
      <c r="A796" s="62" t="str">
        <f t="shared" si="12"/>
        <v>Malawi_Health expenditure, total (% of GDP)</v>
      </c>
      <c r="B796" t="s">
        <v>496</v>
      </c>
      <c r="C796" t="s">
        <v>192</v>
      </c>
      <c r="D796" t="s">
        <v>428</v>
      </c>
      <c r="E796" t="s">
        <v>429</v>
      </c>
      <c r="F796" t="s">
        <v>193</v>
      </c>
      <c r="G796" t="s">
        <v>193</v>
      </c>
      <c r="H796" t="s">
        <v>193</v>
      </c>
      <c r="I796" t="s">
        <v>193</v>
      </c>
      <c r="J796">
        <v>6.1</v>
      </c>
      <c r="K796">
        <v>7.8</v>
      </c>
      <c r="L796">
        <v>10</v>
      </c>
      <c r="M796">
        <v>12.8</v>
      </c>
      <c r="N796">
        <v>12.9</v>
      </c>
      <c r="O796" t="s">
        <v>193</v>
      </c>
      <c r="P796" t="s">
        <v>193</v>
      </c>
    </row>
    <row r="797" spans="1:16" ht="12.75">
      <c r="A797" s="62" t="str">
        <f t="shared" si="12"/>
        <v>Malawi_GDP (current LCU)</v>
      </c>
      <c r="B797" t="s">
        <v>496</v>
      </c>
      <c r="C797" t="s">
        <v>192</v>
      </c>
      <c r="D797" t="s">
        <v>430</v>
      </c>
      <c r="E797" t="s">
        <v>431</v>
      </c>
      <c r="F797">
        <v>34919211008</v>
      </c>
      <c r="G797">
        <v>43794767872</v>
      </c>
      <c r="H797">
        <v>54395379712</v>
      </c>
      <c r="I797">
        <v>78297014272</v>
      </c>
      <c r="J797">
        <v>103815004160</v>
      </c>
      <c r="K797">
        <v>123926872064</v>
      </c>
      <c r="L797">
        <v>148356022272</v>
      </c>
      <c r="M797">
        <v>171917787136</v>
      </c>
      <c r="N797">
        <v>207209037824</v>
      </c>
      <c r="O797">
        <v>245749923840</v>
      </c>
      <c r="P797">
        <v>303518384128</v>
      </c>
    </row>
    <row r="798" spans="1:16" ht="12.75">
      <c r="A798" s="62" t="str">
        <f t="shared" si="12"/>
        <v>Malawi_GDP (current US$)</v>
      </c>
      <c r="B798" t="s">
        <v>496</v>
      </c>
      <c r="C798" t="s">
        <v>192</v>
      </c>
      <c r="D798" t="s">
        <v>432</v>
      </c>
      <c r="E798" t="s">
        <v>433</v>
      </c>
      <c r="F798">
        <v>2281033984</v>
      </c>
      <c r="G798">
        <v>2663348224</v>
      </c>
      <c r="H798">
        <v>1750585344</v>
      </c>
      <c r="I798">
        <v>1775921792</v>
      </c>
      <c r="J798">
        <v>1743506560</v>
      </c>
      <c r="K798">
        <v>1716502784</v>
      </c>
      <c r="L798">
        <v>1934575616</v>
      </c>
      <c r="M798">
        <v>1764480896</v>
      </c>
      <c r="N798">
        <v>1902833280</v>
      </c>
      <c r="O798">
        <v>2075571328</v>
      </c>
      <c r="P798">
        <v>2231531264</v>
      </c>
    </row>
    <row r="799" spans="1:16" ht="12.75">
      <c r="A799" s="62" t="str">
        <f t="shared" si="12"/>
        <v>Malawi_GDP per capita, PPP (current international $)</v>
      </c>
      <c r="B799" t="s">
        <v>496</v>
      </c>
      <c r="C799" t="s">
        <v>192</v>
      </c>
      <c r="D799" t="s">
        <v>434</v>
      </c>
      <c r="E799" t="s">
        <v>435</v>
      </c>
      <c r="F799">
        <v>540.999990471632</v>
      </c>
      <c r="G799">
        <v>556.430420728597</v>
      </c>
      <c r="H799">
        <v>568.080918489581</v>
      </c>
      <c r="I799">
        <v>577.156151521158</v>
      </c>
      <c r="J799">
        <v>583.38471317237</v>
      </c>
      <c r="K799">
        <v>554.080166645061</v>
      </c>
      <c r="L799">
        <v>566.722789833265</v>
      </c>
      <c r="M799">
        <v>600.005327410142</v>
      </c>
      <c r="N799">
        <v>645.493036582023</v>
      </c>
      <c r="O799">
        <v>668.65325383868</v>
      </c>
      <c r="P799">
        <v>730.552614995295</v>
      </c>
    </row>
    <row r="800" spans="1:16" ht="12.75">
      <c r="A800" s="62" t="str">
        <f t="shared" si="12"/>
        <v>Malawi_GDP per capita, PPP (constant 2000 international $)</v>
      </c>
      <c r="B800" t="s">
        <v>496</v>
      </c>
      <c r="C800" t="s">
        <v>192</v>
      </c>
      <c r="D800" t="s">
        <v>436</v>
      </c>
      <c r="E800" t="s">
        <v>437</v>
      </c>
      <c r="F800">
        <v>576.482134551625</v>
      </c>
      <c r="G800">
        <v>583.183367251539</v>
      </c>
      <c r="H800">
        <v>588.851648322026</v>
      </c>
      <c r="I800">
        <v>589.737320653324</v>
      </c>
      <c r="J800">
        <v>583.38471317237</v>
      </c>
      <c r="K800">
        <v>541.047374660391</v>
      </c>
      <c r="L800">
        <v>543.874530263312</v>
      </c>
      <c r="M800">
        <v>564.329801555995</v>
      </c>
      <c r="N800">
        <v>591.589602843988</v>
      </c>
      <c r="O800">
        <v>594.871753459909</v>
      </c>
      <c r="P800">
        <v>631.451151674793</v>
      </c>
    </row>
    <row r="801" spans="1:16" ht="12.75">
      <c r="A801" s="62" t="str">
        <f t="shared" si="12"/>
        <v>Malawi_GINI index</v>
      </c>
      <c r="B801" t="s">
        <v>496</v>
      </c>
      <c r="C801" t="s">
        <v>192</v>
      </c>
      <c r="D801" t="s">
        <v>438</v>
      </c>
      <c r="E801" t="s">
        <v>439</v>
      </c>
      <c r="F801" t="s">
        <v>193</v>
      </c>
      <c r="G801" t="s">
        <v>193</v>
      </c>
      <c r="H801" t="s">
        <v>193</v>
      </c>
      <c r="I801" t="s">
        <v>193</v>
      </c>
      <c r="J801" t="s">
        <v>193</v>
      </c>
      <c r="K801" t="s">
        <v>193</v>
      </c>
      <c r="L801" t="s">
        <v>193</v>
      </c>
      <c r="M801" t="s">
        <v>193</v>
      </c>
      <c r="N801">
        <v>39</v>
      </c>
      <c r="O801" t="s">
        <v>193</v>
      </c>
      <c r="P801" t="s">
        <v>193</v>
      </c>
    </row>
    <row r="802" spans="1:16" ht="12.75">
      <c r="A802" s="62" t="str">
        <f t="shared" si="12"/>
        <v>Malaysia_Poverty headcount ratio at national poverty line (% of population)</v>
      </c>
      <c r="B802" t="s">
        <v>497</v>
      </c>
      <c r="C802" t="s">
        <v>228</v>
      </c>
      <c r="D802" t="s">
        <v>408</v>
      </c>
      <c r="E802" t="s">
        <v>409</v>
      </c>
      <c r="F802" t="s">
        <v>193</v>
      </c>
      <c r="G802" t="s">
        <v>193</v>
      </c>
      <c r="H802" t="s">
        <v>193</v>
      </c>
      <c r="I802" t="s">
        <v>193</v>
      </c>
      <c r="J802" t="s">
        <v>193</v>
      </c>
      <c r="K802" t="s">
        <v>193</v>
      </c>
      <c r="L802" t="s">
        <v>193</v>
      </c>
      <c r="M802" t="s">
        <v>193</v>
      </c>
      <c r="N802" t="s">
        <v>193</v>
      </c>
      <c r="O802" t="s">
        <v>193</v>
      </c>
      <c r="P802" t="s">
        <v>193</v>
      </c>
    </row>
    <row r="803" spans="1:16" ht="12.75">
      <c r="A803" s="62" t="str">
        <f aca="true" t="shared" si="13" ref="A803:A866">C803&amp;"_"&amp;E803</f>
        <v>Malaysia_Poverty headcount ratio at $2 a day (PPP) (% of population)</v>
      </c>
      <c r="B803" t="s">
        <v>497</v>
      </c>
      <c r="C803" t="s">
        <v>228</v>
      </c>
      <c r="D803" t="s">
        <v>410</v>
      </c>
      <c r="E803" t="s">
        <v>411</v>
      </c>
      <c r="F803" t="s">
        <v>193</v>
      </c>
      <c r="G803">
        <v>9.25</v>
      </c>
      <c r="H803" t="s">
        <v>193</v>
      </c>
      <c r="I803" t="s">
        <v>193</v>
      </c>
      <c r="J803" t="s">
        <v>193</v>
      </c>
      <c r="K803" t="s">
        <v>193</v>
      </c>
      <c r="L803" t="s">
        <v>193</v>
      </c>
      <c r="M803" t="s">
        <v>193</v>
      </c>
      <c r="N803" t="s">
        <v>193</v>
      </c>
      <c r="O803" t="s">
        <v>193</v>
      </c>
      <c r="P803" t="s">
        <v>193</v>
      </c>
    </row>
    <row r="804" spans="1:16" ht="12.75">
      <c r="A804" s="62" t="str">
        <f t="shared" si="13"/>
        <v>Malaysia_Poverty headcount ratio at $1 a day (PPP) (% of population)</v>
      </c>
      <c r="B804" t="s">
        <v>497</v>
      </c>
      <c r="C804" t="s">
        <v>228</v>
      </c>
      <c r="D804" t="s">
        <v>412</v>
      </c>
      <c r="E804" t="s">
        <v>413</v>
      </c>
      <c r="F804" t="s">
        <v>193</v>
      </c>
      <c r="G804">
        <v>2</v>
      </c>
      <c r="H804" t="s">
        <v>193</v>
      </c>
      <c r="I804" t="s">
        <v>193</v>
      </c>
      <c r="J804" t="s">
        <v>193</v>
      </c>
      <c r="K804" t="s">
        <v>193</v>
      </c>
      <c r="L804" t="s">
        <v>193</v>
      </c>
      <c r="M804" t="s">
        <v>193</v>
      </c>
      <c r="N804" t="s">
        <v>193</v>
      </c>
      <c r="O804" t="s">
        <v>193</v>
      </c>
      <c r="P804" t="s">
        <v>193</v>
      </c>
    </row>
    <row r="805" spans="1:16" ht="12.75">
      <c r="A805" s="62" t="str">
        <f t="shared" si="13"/>
        <v>Malaysia_Poverty gap at $1 a day (PPP) (%)</v>
      </c>
      <c r="B805" t="s">
        <v>497</v>
      </c>
      <c r="C805" t="s">
        <v>228</v>
      </c>
      <c r="D805" t="s">
        <v>414</v>
      </c>
      <c r="E805" t="s">
        <v>415</v>
      </c>
      <c r="F805" t="s">
        <v>193</v>
      </c>
      <c r="G805">
        <v>0.5</v>
      </c>
      <c r="H805" t="s">
        <v>193</v>
      </c>
      <c r="I805" t="s">
        <v>193</v>
      </c>
      <c r="J805" t="s">
        <v>193</v>
      </c>
      <c r="K805" t="s">
        <v>193</v>
      </c>
      <c r="L805" t="s">
        <v>193</v>
      </c>
      <c r="M805" t="s">
        <v>193</v>
      </c>
      <c r="N805" t="s">
        <v>193</v>
      </c>
      <c r="O805" t="s">
        <v>193</v>
      </c>
      <c r="P805" t="s">
        <v>193</v>
      </c>
    </row>
    <row r="806" spans="1:16" ht="12.75">
      <c r="A806" s="62" t="str">
        <f t="shared" si="13"/>
        <v>Malaysia_Poverty gap at $2 a day (PPP) (%)</v>
      </c>
      <c r="B806" t="s">
        <v>497</v>
      </c>
      <c r="C806" t="s">
        <v>228</v>
      </c>
      <c r="D806" t="s">
        <v>416</v>
      </c>
      <c r="E806" t="s">
        <v>417</v>
      </c>
      <c r="F806" t="s">
        <v>193</v>
      </c>
      <c r="G806">
        <v>1.998</v>
      </c>
      <c r="H806" t="s">
        <v>193</v>
      </c>
      <c r="I806" t="s">
        <v>193</v>
      </c>
      <c r="J806" t="s">
        <v>193</v>
      </c>
      <c r="K806" t="s">
        <v>193</v>
      </c>
      <c r="L806" t="s">
        <v>193</v>
      </c>
      <c r="M806" t="s">
        <v>193</v>
      </c>
      <c r="N806" t="s">
        <v>193</v>
      </c>
      <c r="O806" t="s">
        <v>193</v>
      </c>
      <c r="P806" t="s">
        <v>193</v>
      </c>
    </row>
    <row r="807" spans="1:16" ht="12.75">
      <c r="A807" s="62" t="str">
        <f t="shared" si="13"/>
        <v>Malaysia_Population, total</v>
      </c>
      <c r="B807" t="s">
        <v>497</v>
      </c>
      <c r="C807" t="s">
        <v>228</v>
      </c>
      <c r="D807" t="s">
        <v>418</v>
      </c>
      <c r="E807" t="s">
        <v>419</v>
      </c>
      <c r="F807">
        <v>20892151</v>
      </c>
      <c r="G807">
        <v>21426854</v>
      </c>
      <c r="H807">
        <v>21960513</v>
      </c>
      <c r="I807">
        <v>22485745</v>
      </c>
      <c r="J807">
        <v>22997185</v>
      </c>
      <c r="K807">
        <v>23491986</v>
      </c>
      <c r="L807">
        <v>23970924</v>
      </c>
      <c r="M807">
        <v>24436840</v>
      </c>
      <c r="N807">
        <v>24894489</v>
      </c>
      <c r="O807">
        <v>25347368</v>
      </c>
      <c r="P807">
        <v>25766595.6758872</v>
      </c>
    </row>
    <row r="808" spans="1:16" ht="12.75">
      <c r="A808" s="62" t="str">
        <f t="shared" si="13"/>
        <v>Malaysia_Public spending on education, total (% of GDP)</v>
      </c>
      <c r="B808" t="s">
        <v>497</v>
      </c>
      <c r="C808" t="s">
        <v>228</v>
      </c>
      <c r="D808" t="s">
        <v>420</v>
      </c>
      <c r="E808" t="s">
        <v>421</v>
      </c>
      <c r="F808" t="s">
        <v>193</v>
      </c>
      <c r="G808" t="s">
        <v>193</v>
      </c>
      <c r="H808" t="s">
        <v>193</v>
      </c>
      <c r="I808">
        <v>5.686792316072</v>
      </c>
      <c r="J808">
        <v>6.20103067925378</v>
      </c>
      <c r="K808">
        <v>7.89125948053869</v>
      </c>
      <c r="L808">
        <v>8.1064141372116</v>
      </c>
      <c r="M808">
        <v>7.95401680315942</v>
      </c>
      <c r="N808">
        <v>6.24589053968269</v>
      </c>
      <c r="O808" t="s">
        <v>193</v>
      </c>
      <c r="P808" t="s">
        <v>193</v>
      </c>
    </row>
    <row r="809" spans="1:16" ht="12.75">
      <c r="A809" s="62" t="str">
        <f t="shared" si="13"/>
        <v>Malaysia_Public spending on education, total (% of government expenditure)</v>
      </c>
      <c r="B809" t="s">
        <v>497</v>
      </c>
      <c r="C809" t="s">
        <v>228</v>
      </c>
      <c r="D809" t="s">
        <v>422</v>
      </c>
      <c r="E809" t="s">
        <v>423</v>
      </c>
      <c r="F809" t="s">
        <v>193</v>
      </c>
      <c r="G809" t="s">
        <v>193</v>
      </c>
      <c r="H809" t="s">
        <v>193</v>
      </c>
      <c r="I809">
        <v>25.1774900107459</v>
      </c>
      <c r="J809">
        <v>26.6508907147687</v>
      </c>
      <c r="K809">
        <v>19.9879466822145</v>
      </c>
      <c r="L809">
        <v>20.2982470268027</v>
      </c>
      <c r="M809">
        <v>28.016797873308</v>
      </c>
      <c r="N809">
        <v>25.208562411036</v>
      </c>
      <c r="O809" t="s">
        <v>193</v>
      </c>
      <c r="P809" t="s">
        <v>193</v>
      </c>
    </row>
    <row r="810" spans="1:16" ht="12.75">
      <c r="A810" s="62" t="str">
        <f t="shared" si="13"/>
        <v>Malaysia_Health expenditure, public (% of total health expenditure)</v>
      </c>
      <c r="B810" t="s">
        <v>497</v>
      </c>
      <c r="C810" t="s">
        <v>228</v>
      </c>
      <c r="D810" t="s">
        <v>424</v>
      </c>
      <c r="E810" t="s">
        <v>425</v>
      </c>
      <c r="F810" t="s">
        <v>193</v>
      </c>
      <c r="G810" t="s">
        <v>193</v>
      </c>
      <c r="H810" t="s">
        <v>193</v>
      </c>
      <c r="I810" t="s">
        <v>193</v>
      </c>
      <c r="J810">
        <v>52.4</v>
      </c>
      <c r="K810">
        <v>55.8</v>
      </c>
      <c r="L810">
        <v>55.4</v>
      </c>
      <c r="M810">
        <v>61.6</v>
      </c>
      <c r="N810">
        <v>58.8</v>
      </c>
      <c r="O810" t="s">
        <v>193</v>
      </c>
      <c r="P810" t="s">
        <v>193</v>
      </c>
    </row>
    <row r="811" spans="1:16" ht="12.75">
      <c r="A811" s="62" t="str">
        <f t="shared" si="13"/>
        <v>Malaysia_Health expenditure, public (% of GDP)</v>
      </c>
      <c r="B811" t="s">
        <v>497</v>
      </c>
      <c r="C811" t="s">
        <v>228</v>
      </c>
      <c r="D811" t="s">
        <v>426</v>
      </c>
      <c r="E811" t="s">
        <v>427</v>
      </c>
      <c r="F811" t="s">
        <v>193</v>
      </c>
      <c r="G811" t="s">
        <v>193</v>
      </c>
      <c r="H811" t="s">
        <v>193</v>
      </c>
      <c r="I811" t="s">
        <v>193</v>
      </c>
      <c r="J811">
        <v>1.7292</v>
      </c>
      <c r="K811">
        <v>2.0646</v>
      </c>
      <c r="L811">
        <v>2.0498</v>
      </c>
      <c r="M811">
        <v>2.5872</v>
      </c>
      <c r="N811">
        <v>2.2344</v>
      </c>
      <c r="O811" t="s">
        <v>193</v>
      </c>
      <c r="P811" t="s">
        <v>193</v>
      </c>
    </row>
    <row r="812" spans="1:16" ht="12.75">
      <c r="A812" s="62" t="str">
        <f t="shared" si="13"/>
        <v>Malaysia_Health expenditure, total (% of GDP)</v>
      </c>
      <c r="B812" t="s">
        <v>497</v>
      </c>
      <c r="C812" t="s">
        <v>228</v>
      </c>
      <c r="D812" t="s">
        <v>428</v>
      </c>
      <c r="E812" t="s">
        <v>429</v>
      </c>
      <c r="F812" t="s">
        <v>193</v>
      </c>
      <c r="G812" t="s">
        <v>193</v>
      </c>
      <c r="H812" t="s">
        <v>193</v>
      </c>
      <c r="I812" t="s">
        <v>193</v>
      </c>
      <c r="J812">
        <v>3.3</v>
      </c>
      <c r="K812">
        <v>3.7</v>
      </c>
      <c r="L812">
        <v>3.7</v>
      </c>
      <c r="M812">
        <v>4.2</v>
      </c>
      <c r="N812">
        <v>3.8</v>
      </c>
      <c r="O812" t="s">
        <v>193</v>
      </c>
      <c r="P812" t="s">
        <v>193</v>
      </c>
    </row>
    <row r="813" spans="1:16" ht="12.75">
      <c r="A813" s="62" t="str">
        <f t="shared" si="13"/>
        <v>Malaysia_GDP (current LCU)</v>
      </c>
      <c r="B813" t="s">
        <v>497</v>
      </c>
      <c r="C813" t="s">
        <v>228</v>
      </c>
      <c r="D813" t="s">
        <v>430</v>
      </c>
      <c r="E813" t="s">
        <v>431</v>
      </c>
      <c r="F813">
        <v>253732995072</v>
      </c>
      <c r="G813">
        <v>281795002368</v>
      </c>
      <c r="H813">
        <v>283242987520</v>
      </c>
      <c r="I813">
        <v>300764004352</v>
      </c>
      <c r="J813">
        <v>343215013888</v>
      </c>
      <c r="K813">
        <v>334403993600</v>
      </c>
      <c r="L813">
        <v>361624010752</v>
      </c>
      <c r="M813">
        <v>395169988608</v>
      </c>
      <c r="N813">
        <v>450152005632</v>
      </c>
      <c r="O813">
        <v>495239004160</v>
      </c>
      <c r="P813">
        <v>546342993920</v>
      </c>
    </row>
    <row r="814" spans="1:16" ht="12.75">
      <c r="A814" s="62" t="str">
        <f t="shared" si="13"/>
        <v>Malaysia_GDP (current US$)</v>
      </c>
      <c r="B814" t="s">
        <v>497</v>
      </c>
      <c r="C814" t="s">
        <v>228</v>
      </c>
      <c r="D814" t="s">
        <v>432</v>
      </c>
      <c r="E814" t="s">
        <v>433</v>
      </c>
      <c r="F814">
        <v>100851785728</v>
      </c>
      <c r="G814">
        <v>100168851456</v>
      </c>
      <c r="H814">
        <v>72175312896</v>
      </c>
      <c r="I814">
        <v>79148425216</v>
      </c>
      <c r="J814">
        <v>90319740928</v>
      </c>
      <c r="K814">
        <v>88001052672</v>
      </c>
      <c r="L814">
        <v>95164211200</v>
      </c>
      <c r="M814">
        <v>103992107008</v>
      </c>
      <c r="N814">
        <v>118461054976</v>
      </c>
      <c r="O814">
        <v>130769977344</v>
      </c>
      <c r="P814">
        <v>148940357632</v>
      </c>
    </row>
    <row r="815" spans="1:16" ht="12.75">
      <c r="A815" s="62" t="str">
        <f t="shared" si="13"/>
        <v>Malaysia_GDP per capita, PPP (current international $)</v>
      </c>
      <c r="B815" t="s">
        <v>497</v>
      </c>
      <c r="C815" t="s">
        <v>228</v>
      </c>
      <c r="D815" t="s">
        <v>434</v>
      </c>
      <c r="E815" t="s">
        <v>435</v>
      </c>
      <c r="F815">
        <v>7709.5220575322</v>
      </c>
      <c r="G815">
        <v>8202.35008962294</v>
      </c>
      <c r="H815">
        <v>7496.42352861522</v>
      </c>
      <c r="I815">
        <v>7882.95466307575</v>
      </c>
      <c r="J815">
        <v>8573.35348043583</v>
      </c>
      <c r="K815">
        <v>8622.29206183124</v>
      </c>
      <c r="L815">
        <v>8954.51086584007</v>
      </c>
      <c r="M815">
        <v>9472.14388810081</v>
      </c>
      <c r="N815">
        <v>10232.2279354293</v>
      </c>
      <c r="O815">
        <v>10886.5867916811</v>
      </c>
      <c r="P815">
        <v>11674.6553095256</v>
      </c>
    </row>
    <row r="816" spans="1:16" ht="12.75">
      <c r="A816" s="62" t="str">
        <f t="shared" si="13"/>
        <v>Malaysia_GDP per capita, PPP (constant 2000 international $)</v>
      </c>
      <c r="B816" t="s">
        <v>497</v>
      </c>
      <c r="C816" t="s">
        <v>228</v>
      </c>
      <c r="D816" t="s">
        <v>436</v>
      </c>
      <c r="E816" t="s">
        <v>437</v>
      </c>
      <c r="F816">
        <v>8215.16046280235</v>
      </c>
      <c r="G816">
        <v>8596.71571942226</v>
      </c>
      <c r="H816">
        <v>7770.51509331069</v>
      </c>
      <c r="I816">
        <v>8054.79167047134</v>
      </c>
      <c r="J816">
        <v>8573.35348043583</v>
      </c>
      <c r="K816">
        <v>8419.48289153855</v>
      </c>
      <c r="L816">
        <v>8593.49664115205</v>
      </c>
      <c r="M816">
        <v>8908.94269848346</v>
      </c>
      <c r="N816">
        <v>9377.76136607569</v>
      </c>
      <c r="O816">
        <v>9685.32335224864</v>
      </c>
      <c r="P816">
        <v>10090.9563381053</v>
      </c>
    </row>
    <row r="817" spans="1:16" ht="12.75">
      <c r="A817" s="62" t="str">
        <f t="shared" si="13"/>
        <v>Malaysia_GINI index</v>
      </c>
      <c r="B817" t="s">
        <v>497</v>
      </c>
      <c r="C817" t="s">
        <v>228</v>
      </c>
      <c r="D817" t="s">
        <v>438</v>
      </c>
      <c r="E817" t="s">
        <v>439</v>
      </c>
      <c r="F817" t="s">
        <v>193</v>
      </c>
      <c r="G817">
        <v>49.15</v>
      </c>
      <c r="H817" t="s">
        <v>193</v>
      </c>
      <c r="I817" t="s">
        <v>193</v>
      </c>
      <c r="J817" t="s">
        <v>193</v>
      </c>
      <c r="K817" t="s">
        <v>193</v>
      </c>
      <c r="L817" t="s">
        <v>193</v>
      </c>
      <c r="M817" t="s">
        <v>193</v>
      </c>
      <c r="N817" t="s">
        <v>193</v>
      </c>
      <c r="O817" t="s">
        <v>193</v>
      </c>
      <c r="P817" t="s">
        <v>193</v>
      </c>
    </row>
    <row r="818" spans="1:16" ht="12.75">
      <c r="A818" s="62" t="str">
        <f t="shared" si="13"/>
        <v>Maldives_Poverty headcount ratio at national poverty line (% of population)</v>
      </c>
      <c r="B818" t="s">
        <v>498</v>
      </c>
      <c r="C818" t="s">
        <v>87</v>
      </c>
      <c r="D818" t="s">
        <v>408</v>
      </c>
      <c r="E818" t="s">
        <v>409</v>
      </c>
      <c r="F818" t="s">
        <v>193</v>
      </c>
      <c r="G818" t="s">
        <v>193</v>
      </c>
      <c r="H818" t="s">
        <v>193</v>
      </c>
      <c r="I818" t="s">
        <v>193</v>
      </c>
      <c r="J818" t="s">
        <v>193</v>
      </c>
      <c r="K818" t="s">
        <v>193</v>
      </c>
      <c r="L818" t="s">
        <v>193</v>
      </c>
      <c r="M818" t="s">
        <v>193</v>
      </c>
      <c r="N818" t="s">
        <v>193</v>
      </c>
      <c r="O818" t="s">
        <v>193</v>
      </c>
      <c r="P818" t="s">
        <v>193</v>
      </c>
    </row>
    <row r="819" spans="1:16" ht="12.75">
      <c r="A819" s="62" t="str">
        <f t="shared" si="13"/>
        <v>Maldives_Poverty headcount ratio at $2 a day (PPP) (% of population)</v>
      </c>
      <c r="B819" t="s">
        <v>498</v>
      </c>
      <c r="C819" t="s">
        <v>87</v>
      </c>
      <c r="D819" t="s">
        <v>410</v>
      </c>
      <c r="E819" t="s">
        <v>411</v>
      </c>
      <c r="F819" t="s">
        <v>193</v>
      </c>
      <c r="G819" t="s">
        <v>193</v>
      </c>
      <c r="H819" t="s">
        <v>193</v>
      </c>
      <c r="I819" t="s">
        <v>193</v>
      </c>
      <c r="J819" t="s">
        <v>193</v>
      </c>
      <c r="K819" t="s">
        <v>193</v>
      </c>
      <c r="L819" t="s">
        <v>193</v>
      </c>
      <c r="M819" t="s">
        <v>193</v>
      </c>
      <c r="N819" t="s">
        <v>193</v>
      </c>
      <c r="O819" t="s">
        <v>193</v>
      </c>
      <c r="P819" t="s">
        <v>193</v>
      </c>
    </row>
    <row r="820" spans="1:16" ht="12.75">
      <c r="A820" s="62" t="str">
        <f t="shared" si="13"/>
        <v>Maldives_Poverty headcount ratio at $1 a day (PPP) (% of population)</v>
      </c>
      <c r="B820" t="s">
        <v>498</v>
      </c>
      <c r="C820" t="s">
        <v>87</v>
      </c>
      <c r="D820" t="s">
        <v>412</v>
      </c>
      <c r="E820" t="s">
        <v>413</v>
      </c>
      <c r="F820" t="s">
        <v>193</v>
      </c>
      <c r="G820" t="s">
        <v>193</v>
      </c>
      <c r="H820" t="s">
        <v>193</v>
      </c>
      <c r="I820" t="s">
        <v>193</v>
      </c>
      <c r="J820" t="s">
        <v>193</v>
      </c>
      <c r="K820" t="s">
        <v>193</v>
      </c>
      <c r="L820" t="s">
        <v>193</v>
      </c>
      <c r="M820" t="s">
        <v>193</v>
      </c>
      <c r="N820" t="s">
        <v>193</v>
      </c>
      <c r="O820" t="s">
        <v>193</v>
      </c>
      <c r="P820" t="s">
        <v>193</v>
      </c>
    </row>
    <row r="821" spans="1:16" ht="12.75">
      <c r="A821" s="62" t="str">
        <f t="shared" si="13"/>
        <v>Maldives_Poverty gap at $1 a day (PPP) (%)</v>
      </c>
      <c r="B821" t="s">
        <v>498</v>
      </c>
      <c r="C821" t="s">
        <v>87</v>
      </c>
      <c r="D821" t="s">
        <v>414</v>
      </c>
      <c r="E821" t="s">
        <v>415</v>
      </c>
      <c r="F821" t="s">
        <v>193</v>
      </c>
      <c r="G821" t="s">
        <v>193</v>
      </c>
      <c r="H821" t="s">
        <v>193</v>
      </c>
      <c r="I821" t="s">
        <v>193</v>
      </c>
      <c r="J821" t="s">
        <v>193</v>
      </c>
      <c r="K821" t="s">
        <v>193</v>
      </c>
      <c r="L821" t="s">
        <v>193</v>
      </c>
      <c r="M821" t="s">
        <v>193</v>
      </c>
      <c r="N821" t="s">
        <v>193</v>
      </c>
      <c r="O821" t="s">
        <v>193</v>
      </c>
      <c r="P821" t="s">
        <v>193</v>
      </c>
    </row>
    <row r="822" spans="1:16" ht="12.75">
      <c r="A822" s="62" t="str">
        <f t="shared" si="13"/>
        <v>Maldives_Poverty gap at $2 a day (PPP) (%)</v>
      </c>
      <c r="B822" t="s">
        <v>498</v>
      </c>
      <c r="C822" t="s">
        <v>87</v>
      </c>
      <c r="D822" t="s">
        <v>416</v>
      </c>
      <c r="E822" t="s">
        <v>417</v>
      </c>
      <c r="F822" t="s">
        <v>193</v>
      </c>
      <c r="G822" t="s">
        <v>193</v>
      </c>
      <c r="H822" t="s">
        <v>193</v>
      </c>
      <c r="I822" t="s">
        <v>193</v>
      </c>
      <c r="J822" t="s">
        <v>193</v>
      </c>
      <c r="K822" t="s">
        <v>193</v>
      </c>
      <c r="L822" t="s">
        <v>193</v>
      </c>
      <c r="M822" t="s">
        <v>193</v>
      </c>
      <c r="N822" t="s">
        <v>193</v>
      </c>
      <c r="O822" t="s">
        <v>193</v>
      </c>
      <c r="P822" t="s">
        <v>193</v>
      </c>
    </row>
    <row r="823" spans="1:16" ht="12.75">
      <c r="A823" s="62" t="str">
        <f t="shared" si="13"/>
        <v>Maldives_Population, total</v>
      </c>
      <c r="B823" t="s">
        <v>498</v>
      </c>
      <c r="C823" t="s">
        <v>87</v>
      </c>
      <c r="D823" t="s">
        <v>418</v>
      </c>
      <c r="E823" t="s">
        <v>419</v>
      </c>
      <c r="F823">
        <v>259370</v>
      </c>
      <c r="G823">
        <v>267027</v>
      </c>
      <c r="H823">
        <v>274743</v>
      </c>
      <c r="I823">
        <v>282478</v>
      </c>
      <c r="J823">
        <v>290209</v>
      </c>
      <c r="K823">
        <v>297916</v>
      </c>
      <c r="L823">
        <v>305615</v>
      </c>
      <c r="M823">
        <v>313352</v>
      </c>
      <c r="N823">
        <v>321196</v>
      </c>
      <c r="O823">
        <v>329198</v>
      </c>
      <c r="P823">
        <v>336981.528031749</v>
      </c>
    </row>
    <row r="824" spans="1:16" ht="12.75">
      <c r="A824" s="62" t="str">
        <f t="shared" si="13"/>
        <v>Maldives_Public spending on education, total (% of GDP)</v>
      </c>
      <c r="B824" t="s">
        <v>498</v>
      </c>
      <c r="C824" t="s">
        <v>87</v>
      </c>
      <c r="D824" t="s">
        <v>420</v>
      </c>
      <c r="E824" t="s">
        <v>421</v>
      </c>
      <c r="F824" t="s">
        <v>193</v>
      </c>
      <c r="G824" t="s">
        <v>193</v>
      </c>
      <c r="H824" t="s">
        <v>193</v>
      </c>
      <c r="I824" t="s">
        <v>193</v>
      </c>
      <c r="J824" t="s">
        <v>193</v>
      </c>
      <c r="K824" t="s">
        <v>193</v>
      </c>
      <c r="L824">
        <v>8.10902475539295</v>
      </c>
      <c r="M824">
        <v>8.1090247552742</v>
      </c>
      <c r="N824">
        <v>7.15215277385229</v>
      </c>
      <c r="O824">
        <v>7.14349915101579</v>
      </c>
      <c r="P824" t="s">
        <v>193</v>
      </c>
    </row>
    <row r="825" spans="1:16" ht="12.75">
      <c r="A825" s="62" t="str">
        <f t="shared" si="13"/>
        <v>Maldives_Public spending on education, total (% of government expenditure)</v>
      </c>
      <c r="B825" t="s">
        <v>498</v>
      </c>
      <c r="C825" t="s">
        <v>87</v>
      </c>
      <c r="D825" t="s">
        <v>422</v>
      </c>
      <c r="E825" t="s">
        <v>423</v>
      </c>
      <c r="F825" t="s">
        <v>193</v>
      </c>
      <c r="G825" t="s">
        <v>193</v>
      </c>
      <c r="H825" t="s">
        <v>193</v>
      </c>
      <c r="I825" t="s">
        <v>193</v>
      </c>
      <c r="J825" t="s">
        <v>193</v>
      </c>
      <c r="K825" t="s">
        <v>193</v>
      </c>
      <c r="L825" t="s">
        <v>193</v>
      </c>
      <c r="M825" t="s">
        <v>193</v>
      </c>
      <c r="N825" t="s">
        <v>193</v>
      </c>
      <c r="O825">
        <v>15.0013855588622</v>
      </c>
      <c r="P825" t="s">
        <v>193</v>
      </c>
    </row>
    <row r="826" spans="1:16" ht="12.75">
      <c r="A826" s="62" t="str">
        <f t="shared" si="13"/>
        <v>Maldives_Health expenditure, public (% of total health expenditure)</v>
      </c>
      <c r="B826" t="s">
        <v>498</v>
      </c>
      <c r="C826" t="s">
        <v>87</v>
      </c>
      <c r="D826" t="s">
        <v>424</v>
      </c>
      <c r="E826" t="s">
        <v>425</v>
      </c>
      <c r="F826" t="s">
        <v>193</v>
      </c>
      <c r="G826" t="s">
        <v>193</v>
      </c>
      <c r="H826" t="s">
        <v>193</v>
      </c>
      <c r="I826" t="s">
        <v>193</v>
      </c>
      <c r="J826">
        <v>75.8</v>
      </c>
      <c r="K826">
        <v>77</v>
      </c>
      <c r="L826">
        <v>76.3</v>
      </c>
      <c r="M826">
        <v>79.3</v>
      </c>
      <c r="N826">
        <v>81.4</v>
      </c>
      <c r="O826" t="s">
        <v>193</v>
      </c>
      <c r="P826" t="s">
        <v>193</v>
      </c>
    </row>
    <row r="827" spans="1:16" ht="12.75">
      <c r="A827" s="62" t="str">
        <f t="shared" si="13"/>
        <v>Maldives_Health expenditure, public (% of GDP)</v>
      </c>
      <c r="B827" t="s">
        <v>498</v>
      </c>
      <c r="C827" t="s">
        <v>87</v>
      </c>
      <c r="D827" t="s">
        <v>426</v>
      </c>
      <c r="E827" t="s">
        <v>427</v>
      </c>
      <c r="F827" t="s">
        <v>193</v>
      </c>
      <c r="G827" t="s">
        <v>193</v>
      </c>
      <c r="H827" t="s">
        <v>193</v>
      </c>
      <c r="I827" t="s">
        <v>193</v>
      </c>
      <c r="J827">
        <v>5.1544</v>
      </c>
      <c r="K827">
        <v>5.236</v>
      </c>
      <c r="L827">
        <v>5.0358</v>
      </c>
      <c r="M827">
        <v>5.7096</v>
      </c>
      <c r="N827">
        <v>6.2678</v>
      </c>
      <c r="O827" t="s">
        <v>193</v>
      </c>
      <c r="P827" t="s">
        <v>193</v>
      </c>
    </row>
    <row r="828" spans="1:16" ht="12.75">
      <c r="A828" s="62" t="str">
        <f t="shared" si="13"/>
        <v>Maldives_Health expenditure, total (% of GDP)</v>
      </c>
      <c r="B828" t="s">
        <v>498</v>
      </c>
      <c r="C828" t="s">
        <v>87</v>
      </c>
      <c r="D828" t="s">
        <v>428</v>
      </c>
      <c r="E828" t="s">
        <v>429</v>
      </c>
      <c r="F828" t="s">
        <v>193</v>
      </c>
      <c r="G828" t="s">
        <v>193</v>
      </c>
      <c r="H828" t="s">
        <v>193</v>
      </c>
      <c r="I828" t="s">
        <v>193</v>
      </c>
      <c r="J828">
        <v>6.8</v>
      </c>
      <c r="K828">
        <v>6.8</v>
      </c>
      <c r="L828">
        <v>6.6</v>
      </c>
      <c r="M828">
        <v>7.2</v>
      </c>
      <c r="N828">
        <v>7.7</v>
      </c>
      <c r="O828" t="s">
        <v>193</v>
      </c>
      <c r="P828" t="s">
        <v>193</v>
      </c>
    </row>
    <row r="829" spans="1:16" ht="12.75">
      <c r="A829" s="62" t="str">
        <f t="shared" si="13"/>
        <v>Maldives_GDP (current LCU)</v>
      </c>
      <c r="B829" t="s">
        <v>498</v>
      </c>
      <c r="C829" t="s">
        <v>87</v>
      </c>
      <c r="D829" t="s">
        <v>430</v>
      </c>
      <c r="E829" t="s">
        <v>431</v>
      </c>
      <c r="F829">
        <v>5301000192</v>
      </c>
      <c r="G829">
        <v>5981799936</v>
      </c>
      <c r="H829">
        <v>6356899840</v>
      </c>
      <c r="I829">
        <v>6935399936</v>
      </c>
      <c r="J829">
        <v>7348400128</v>
      </c>
      <c r="K829">
        <v>7650800128</v>
      </c>
      <c r="L829">
        <v>8200999936</v>
      </c>
      <c r="M829">
        <v>8863200256</v>
      </c>
      <c r="N829">
        <v>9938700288</v>
      </c>
      <c r="O829">
        <v>9675919360</v>
      </c>
      <c r="P829">
        <v>11714650112</v>
      </c>
    </row>
    <row r="830" spans="1:16" ht="12.75">
      <c r="A830" s="62" t="str">
        <f t="shared" si="13"/>
        <v>Maldives_GDP (current US$)</v>
      </c>
      <c r="B830" t="s">
        <v>498</v>
      </c>
      <c r="C830" t="s">
        <v>87</v>
      </c>
      <c r="D830" t="s">
        <v>432</v>
      </c>
      <c r="E830" t="s">
        <v>433</v>
      </c>
      <c r="F830">
        <v>450382336</v>
      </c>
      <c r="G830">
        <v>508224288</v>
      </c>
      <c r="H830">
        <v>540093440</v>
      </c>
      <c r="I830">
        <v>589243840</v>
      </c>
      <c r="J830">
        <v>624333056</v>
      </c>
      <c r="K830">
        <v>625065344</v>
      </c>
      <c r="L830">
        <v>640703104</v>
      </c>
      <c r="M830">
        <v>692437504</v>
      </c>
      <c r="N830">
        <v>776460928</v>
      </c>
      <c r="O830">
        <v>755931200</v>
      </c>
      <c r="P830">
        <v>915207040</v>
      </c>
    </row>
    <row r="831" spans="1:16" ht="12.75">
      <c r="A831" s="62" t="str">
        <f t="shared" si="13"/>
        <v>Maldives_GDP per capita, PPP (current international $)</v>
      </c>
      <c r="B831" t="s">
        <v>498</v>
      </c>
      <c r="C831" t="s">
        <v>87</v>
      </c>
      <c r="D831" t="s">
        <v>434</v>
      </c>
      <c r="E831" t="s">
        <v>435</v>
      </c>
      <c r="F831" t="s">
        <v>193</v>
      </c>
      <c r="G831" t="s">
        <v>193</v>
      </c>
      <c r="H831" t="s">
        <v>193</v>
      </c>
      <c r="I831" t="s">
        <v>193</v>
      </c>
      <c r="J831" t="s">
        <v>193</v>
      </c>
      <c r="K831" t="s">
        <v>193</v>
      </c>
      <c r="L831" t="s">
        <v>193</v>
      </c>
      <c r="M831" t="s">
        <v>193</v>
      </c>
      <c r="N831" t="s">
        <v>193</v>
      </c>
      <c r="O831" t="s">
        <v>193</v>
      </c>
      <c r="P831" t="s">
        <v>193</v>
      </c>
    </row>
    <row r="832" spans="1:16" ht="12.75">
      <c r="A832" s="62" t="str">
        <f t="shared" si="13"/>
        <v>Maldives_GDP per capita, PPP (constant 2000 international $)</v>
      </c>
      <c r="B832" t="s">
        <v>498</v>
      </c>
      <c r="C832" t="s">
        <v>87</v>
      </c>
      <c r="D832" t="s">
        <v>436</v>
      </c>
      <c r="E832" t="s">
        <v>437</v>
      </c>
      <c r="F832" t="s">
        <v>193</v>
      </c>
      <c r="G832" t="s">
        <v>193</v>
      </c>
      <c r="H832" t="s">
        <v>193</v>
      </c>
      <c r="I832" t="s">
        <v>193</v>
      </c>
      <c r="J832" t="s">
        <v>193</v>
      </c>
      <c r="K832" t="s">
        <v>193</v>
      </c>
      <c r="L832" t="s">
        <v>193</v>
      </c>
      <c r="M832" t="s">
        <v>193</v>
      </c>
      <c r="N832" t="s">
        <v>193</v>
      </c>
      <c r="O832" t="s">
        <v>193</v>
      </c>
      <c r="P832" t="s">
        <v>193</v>
      </c>
    </row>
    <row r="833" spans="1:16" ht="12.75">
      <c r="A833" s="62" t="str">
        <f t="shared" si="13"/>
        <v>Maldives_GINI index</v>
      </c>
      <c r="B833" t="s">
        <v>498</v>
      </c>
      <c r="C833" t="s">
        <v>87</v>
      </c>
      <c r="D833" t="s">
        <v>438</v>
      </c>
      <c r="E833" t="s">
        <v>439</v>
      </c>
      <c r="F833" t="s">
        <v>193</v>
      </c>
      <c r="G833" t="s">
        <v>193</v>
      </c>
      <c r="H833" t="s">
        <v>193</v>
      </c>
      <c r="I833" t="s">
        <v>193</v>
      </c>
      <c r="J833" t="s">
        <v>193</v>
      </c>
      <c r="K833" t="s">
        <v>193</v>
      </c>
      <c r="L833" t="s">
        <v>193</v>
      </c>
      <c r="M833" t="s">
        <v>193</v>
      </c>
      <c r="N833" t="s">
        <v>193</v>
      </c>
      <c r="O833" t="s">
        <v>193</v>
      </c>
      <c r="P833" t="s">
        <v>193</v>
      </c>
    </row>
    <row r="834" spans="1:16" ht="12.75">
      <c r="A834" s="62" t="str">
        <f t="shared" si="13"/>
        <v>Mauritius_Poverty headcount ratio at national poverty line (% of population)</v>
      </c>
      <c r="B834" t="s">
        <v>499</v>
      </c>
      <c r="C834" t="s">
        <v>179</v>
      </c>
      <c r="D834" t="s">
        <v>408</v>
      </c>
      <c r="E834" t="s">
        <v>409</v>
      </c>
      <c r="F834" t="s">
        <v>193</v>
      </c>
      <c r="G834" t="s">
        <v>193</v>
      </c>
      <c r="H834" t="s">
        <v>193</v>
      </c>
      <c r="I834" t="s">
        <v>193</v>
      </c>
      <c r="J834" t="s">
        <v>193</v>
      </c>
      <c r="K834" t="s">
        <v>193</v>
      </c>
      <c r="L834" t="s">
        <v>193</v>
      </c>
      <c r="M834" t="s">
        <v>193</v>
      </c>
      <c r="N834" t="s">
        <v>193</v>
      </c>
      <c r="O834" t="s">
        <v>193</v>
      </c>
      <c r="P834" t="s">
        <v>193</v>
      </c>
    </row>
    <row r="835" spans="1:16" ht="12.75">
      <c r="A835" s="62" t="str">
        <f t="shared" si="13"/>
        <v>Mauritius_Poverty headcount ratio at $2 a day (PPP) (% of population)</v>
      </c>
      <c r="B835" t="s">
        <v>499</v>
      </c>
      <c r="C835" t="s">
        <v>179</v>
      </c>
      <c r="D835" t="s">
        <v>410</v>
      </c>
      <c r="E835" t="s">
        <v>411</v>
      </c>
      <c r="F835" t="s">
        <v>193</v>
      </c>
      <c r="G835" t="s">
        <v>193</v>
      </c>
      <c r="H835" t="s">
        <v>193</v>
      </c>
      <c r="I835" t="s">
        <v>193</v>
      </c>
      <c r="J835" t="s">
        <v>193</v>
      </c>
      <c r="K835" t="s">
        <v>193</v>
      </c>
      <c r="L835" t="s">
        <v>193</v>
      </c>
      <c r="M835" t="s">
        <v>193</v>
      </c>
      <c r="N835" t="s">
        <v>193</v>
      </c>
      <c r="O835" t="s">
        <v>193</v>
      </c>
      <c r="P835" t="s">
        <v>193</v>
      </c>
    </row>
    <row r="836" spans="1:16" ht="12.75">
      <c r="A836" s="62" t="str">
        <f t="shared" si="13"/>
        <v>Mauritius_Poverty headcount ratio at $1 a day (PPP) (% of population)</v>
      </c>
      <c r="B836" t="s">
        <v>499</v>
      </c>
      <c r="C836" t="s">
        <v>179</v>
      </c>
      <c r="D836" t="s">
        <v>412</v>
      </c>
      <c r="E836" t="s">
        <v>413</v>
      </c>
      <c r="F836" t="s">
        <v>193</v>
      </c>
      <c r="G836" t="s">
        <v>193</v>
      </c>
      <c r="H836" t="s">
        <v>193</v>
      </c>
      <c r="I836" t="s">
        <v>193</v>
      </c>
      <c r="J836" t="s">
        <v>193</v>
      </c>
      <c r="K836" t="s">
        <v>193</v>
      </c>
      <c r="L836" t="s">
        <v>193</v>
      </c>
      <c r="M836" t="s">
        <v>193</v>
      </c>
      <c r="N836" t="s">
        <v>193</v>
      </c>
      <c r="O836" t="s">
        <v>193</v>
      </c>
      <c r="P836" t="s">
        <v>193</v>
      </c>
    </row>
    <row r="837" spans="1:16" ht="12.75">
      <c r="A837" s="62" t="str">
        <f t="shared" si="13"/>
        <v>Mauritius_Poverty gap at $1 a day (PPP) (%)</v>
      </c>
      <c r="B837" t="s">
        <v>499</v>
      </c>
      <c r="C837" t="s">
        <v>179</v>
      </c>
      <c r="D837" t="s">
        <v>414</v>
      </c>
      <c r="E837" t="s">
        <v>415</v>
      </c>
      <c r="F837" t="s">
        <v>193</v>
      </c>
      <c r="G837" t="s">
        <v>193</v>
      </c>
      <c r="H837" t="s">
        <v>193</v>
      </c>
      <c r="I837" t="s">
        <v>193</v>
      </c>
      <c r="J837" t="s">
        <v>193</v>
      </c>
      <c r="K837" t="s">
        <v>193</v>
      </c>
      <c r="L837" t="s">
        <v>193</v>
      </c>
      <c r="M837" t="s">
        <v>193</v>
      </c>
      <c r="N837" t="s">
        <v>193</v>
      </c>
      <c r="O837" t="s">
        <v>193</v>
      </c>
      <c r="P837" t="s">
        <v>193</v>
      </c>
    </row>
    <row r="838" spans="1:16" ht="12.75">
      <c r="A838" s="62" t="str">
        <f t="shared" si="13"/>
        <v>Mauritius_Poverty gap at $2 a day (PPP) (%)</v>
      </c>
      <c r="B838" t="s">
        <v>499</v>
      </c>
      <c r="C838" t="s">
        <v>179</v>
      </c>
      <c r="D838" t="s">
        <v>416</v>
      </c>
      <c r="E838" t="s">
        <v>417</v>
      </c>
      <c r="F838" t="s">
        <v>193</v>
      </c>
      <c r="G838" t="s">
        <v>193</v>
      </c>
      <c r="H838" t="s">
        <v>193</v>
      </c>
      <c r="I838" t="s">
        <v>193</v>
      </c>
      <c r="J838" t="s">
        <v>193</v>
      </c>
      <c r="K838" t="s">
        <v>193</v>
      </c>
      <c r="L838" t="s">
        <v>193</v>
      </c>
      <c r="M838" t="s">
        <v>193</v>
      </c>
      <c r="N838" t="s">
        <v>193</v>
      </c>
      <c r="O838" t="s">
        <v>193</v>
      </c>
      <c r="P838" t="s">
        <v>193</v>
      </c>
    </row>
    <row r="839" spans="1:16" ht="12.75">
      <c r="A839" s="62" t="str">
        <f t="shared" si="13"/>
        <v>Mauritius_Population, total</v>
      </c>
      <c r="B839" t="s">
        <v>499</v>
      </c>
      <c r="C839" t="s">
        <v>179</v>
      </c>
      <c r="D839" t="s">
        <v>418</v>
      </c>
      <c r="E839" t="s">
        <v>419</v>
      </c>
      <c r="F839">
        <v>1133996</v>
      </c>
      <c r="G839">
        <v>1148284</v>
      </c>
      <c r="H839">
        <v>1160421</v>
      </c>
      <c r="I839">
        <v>1175267</v>
      </c>
      <c r="J839">
        <v>1186873</v>
      </c>
      <c r="K839">
        <v>1199881</v>
      </c>
      <c r="L839">
        <v>1210196</v>
      </c>
      <c r="M839">
        <v>1222811</v>
      </c>
      <c r="N839">
        <v>1233386</v>
      </c>
      <c r="O839">
        <v>1243253</v>
      </c>
      <c r="P839">
        <v>1253434.27536094</v>
      </c>
    </row>
    <row r="840" spans="1:16" ht="12.75">
      <c r="A840" s="62" t="str">
        <f t="shared" si="13"/>
        <v>Mauritius_Public spending on education, total (% of GDP)</v>
      </c>
      <c r="B840" t="s">
        <v>499</v>
      </c>
      <c r="C840" t="s">
        <v>179</v>
      </c>
      <c r="D840" t="s">
        <v>420</v>
      </c>
      <c r="E840" t="s">
        <v>421</v>
      </c>
      <c r="F840" t="s">
        <v>193</v>
      </c>
      <c r="G840" t="s">
        <v>193</v>
      </c>
      <c r="H840" t="s">
        <v>193</v>
      </c>
      <c r="I840">
        <v>4.20712187123859</v>
      </c>
      <c r="J840">
        <v>3.90134426348344</v>
      </c>
      <c r="K840">
        <v>3.34733440191417</v>
      </c>
      <c r="L840">
        <v>3.28850223335937</v>
      </c>
      <c r="M840">
        <v>4.66564324667853</v>
      </c>
      <c r="N840">
        <v>4.67965694389996</v>
      </c>
      <c r="O840">
        <v>4.45951220232752</v>
      </c>
      <c r="P840" t="s">
        <v>193</v>
      </c>
    </row>
    <row r="841" spans="1:16" ht="12.75">
      <c r="A841" s="62" t="str">
        <f t="shared" si="13"/>
        <v>Mauritius_Public spending on education, total (% of government expenditure)</v>
      </c>
      <c r="B841" t="s">
        <v>499</v>
      </c>
      <c r="C841" t="s">
        <v>179</v>
      </c>
      <c r="D841" t="s">
        <v>422</v>
      </c>
      <c r="E841" t="s">
        <v>423</v>
      </c>
      <c r="F841" t="s">
        <v>193</v>
      </c>
      <c r="G841" t="s">
        <v>193</v>
      </c>
      <c r="H841" t="s">
        <v>193</v>
      </c>
      <c r="I841">
        <v>17.6744394618834</v>
      </c>
      <c r="J841">
        <v>13.5829838818596</v>
      </c>
      <c r="K841">
        <v>12.0731309587514</v>
      </c>
      <c r="L841" t="s">
        <v>193</v>
      </c>
      <c r="M841" t="s">
        <v>193</v>
      </c>
      <c r="N841">
        <v>15.6977031033447</v>
      </c>
      <c r="O841">
        <v>14.2566183574879</v>
      </c>
      <c r="P841" t="s">
        <v>193</v>
      </c>
    </row>
    <row r="842" spans="1:16" ht="12.75">
      <c r="A842" s="62" t="str">
        <f t="shared" si="13"/>
        <v>Mauritius_Health expenditure, public (% of total health expenditure)</v>
      </c>
      <c r="B842" t="s">
        <v>499</v>
      </c>
      <c r="C842" t="s">
        <v>179</v>
      </c>
      <c r="D842" t="s">
        <v>424</v>
      </c>
      <c r="E842" t="s">
        <v>425</v>
      </c>
      <c r="F842" t="s">
        <v>193</v>
      </c>
      <c r="G842" t="s">
        <v>193</v>
      </c>
      <c r="H842" t="s">
        <v>193</v>
      </c>
      <c r="I842" t="s">
        <v>193</v>
      </c>
      <c r="J842">
        <v>54.3</v>
      </c>
      <c r="K842">
        <v>53.9</v>
      </c>
      <c r="L842">
        <v>51.5</v>
      </c>
      <c r="M842">
        <v>53</v>
      </c>
      <c r="N842">
        <v>54.7</v>
      </c>
      <c r="O842" t="s">
        <v>193</v>
      </c>
      <c r="P842" t="s">
        <v>193</v>
      </c>
    </row>
    <row r="843" spans="1:16" ht="12.75">
      <c r="A843" s="62" t="str">
        <f t="shared" si="13"/>
        <v>Mauritius_Health expenditure, public (% of GDP)</v>
      </c>
      <c r="B843" t="s">
        <v>499</v>
      </c>
      <c r="C843" t="s">
        <v>179</v>
      </c>
      <c r="D843" t="s">
        <v>426</v>
      </c>
      <c r="E843" t="s">
        <v>427</v>
      </c>
      <c r="F843" t="s">
        <v>193</v>
      </c>
      <c r="G843" t="s">
        <v>193</v>
      </c>
      <c r="H843" t="s">
        <v>193</v>
      </c>
      <c r="I843" t="s">
        <v>193</v>
      </c>
      <c r="J843">
        <v>2.0091</v>
      </c>
      <c r="K843">
        <v>2.0482</v>
      </c>
      <c r="L843">
        <v>2.163</v>
      </c>
      <c r="M843">
        <v>2.067</v>
      </c>
      <c r="N843">
        <v>2.3521</v>
      </c>
      <c r="O843" t="s">
        <v>193</v>
      </c>
      <c r="P843" t="s">
        <v>193</v>
      </c>
    </row>
    <row r="844" spans="1:16" ht="12.75">
      <c r="A844" s="62" t="str">
        <f t="shared" si="13"/>
        <v>Mauritius_Health expenditure, total (% of GDP)</v>
      </c>
      <c r="B844" t="s">
        <v>499</v>
      </c>
      <c r="C844" t="s">
        <v>179</v>
      </c>
      <c r="D844" t="s">
        <v>428</v>
      </c>
      <c r="E844" t="s">
        <v>429</v>
      </c>
      <c r="F844" t="s">
        <v>193</v>
      </c>
      <c r="G844" t="s">
        <v>193</v>
      </c>
      <c r="H844" t="s">
        <v>193</v>
      </c>
      <c r="I844" t="s">
        <v>193</v>
      </c>
      <c r="J844">
        <v>3.7</v>
      </c>
      <c r="K844">
        <v>3.8</v>
      </c>
      <c r="L844">
        <v>4.2</v>
      </c>
      <c r="M844">
        <v>3.9</v>
      </c>
      <c r="N844">
        <v>4.3</v>
      </c>
      <c r="O844" t="s">
        <v>193</v>
      </c>
      <c r="P844" t="s">
        <v>193</v>
      </c>
    </row>
    <row r="845" spans="1:16" ht="12.75">
      <c r="A845" s="62" t="str">
        <f t="shared" si="13"/>
        <v>Mauritius_GDP (current LCU)</v>
      </c>
      <c r="B845" t="s">
        <v>499</v>
      </c>
      <c r="C845" t="s">
        <v>179</v>
      </c>
      <c r="D845" t="s">
        <v>430</v>
      </c>
      <c r="E845" t="s">
        <v>431</v>
      </c>
      <c r="F845">
        <v>73862995968</v>
      </c>
      <c r="G845">
        <v>83736002560</v>
      </c>
      <c r="H845">
        <v>93683998720</v>
      </c>
      <c r="I845">
        <v>105691774976</v>
      </c>
      <c r="J845">
        <v>114021179392</v>
      </c>
      <c r="K845">
        <v>125219971072</v>
      </c>
      <c r="L845">
        <v>137118810112</v>
      </c>
      <c r="M845">
        <v>149886959616</v>
      </c>
      <c r="N845">
        <v>166163054592</v>
      </c>
      <c r="O845">
        <v>182021898240</v>
      </c>
      <c r="P845">
        <v>196226482176</v>
      </c>
    </row>
    <row r="846" spans="1:16" ht="12.75">
      <c r="A846" s="62" t="str">
        <f t="shared" si="13"/>
        <v>Mauritius_GDP (current US$)</v>
      </c>
      <c r="B846" t="s">
        <v>499</v>
      </c>
      <c r="C846" t="s">
        <v>179</v>
      </c>
      <c r="D846" t="s">
        <v>432</v>
      </c>
      <c r="E846" t="s">
        <v>433</v>
      </c>
      <c r="F846">
        <v>4163385088</v>
      </c>
      <c r="G846">
        <v>4384506880</v>
      </c>
      <c r="H846">
        <v>4146256384</v>
      </c>
      <c r="I846">
        <v>4258483712</v>
      </c>
      <c r="J846">
        <v>4469325312</v>
      </c>
      <c r="K846">
        <v>4538528768</v>
      </c>
      <c r="L846">
        <v>4549396480</v>
      </c>
      <c r="M846">
        <v>5248142336</v>
      </c>
      <c r="N846">
        <v>6064345088</v>
      </c>
      <c r="O846">
        <v>6289630208</v>
      </c>
      <c r="P846">
        <v>6448455168</v>
      </c>
    </row>
    <row r="847" spans="1:16" ht="12.75">
      <c r="A847" s="62" t="str">
        <f t="shared" si="13"/>
        <v>Mauritius_GDP per capita, PPP (current international $)</v>
      </c>
      <c r="B847" t="s">
        <v>499</v>
      </c>
      <c r="C847" t="s">
        <v>179</v>
      </c>
      <c r="D847" t="s">
        <v>434</v>
      </c>
      <c r="E847" t="s">
        <v>435</v>
      </c>
      <c r="F847">
        <v>7694.99986447173</v>
      </c>
      <c r="G847">
        <v>8178.56466670145</v>
      </c>
      <c r="H847">
        <v>8673.91671661525</v>
      </c>
      <c r="I847">
        <v>9194.37544821212</v>
      </c>
      <c r="J847">
        <v>9677.49326610314</v>
      </c>
      <c r="K847">
        <v>10347.9246536883</v>
      </c>
      <c r="L847">
        <v>10722.2178832184</v>
      </c>
      <c r="M847">
        <v>11173.1699548524</v>
      </c>
      <c r="N847">
        <v>11902.7454195858</v>
      </c>
      <c r="O847">
        <v>12720.2940421061</v>
      </c>
      <c r="P847">
        <v>13446.1330034187</v>
      </c>
    </row>
    <row r="848" spans="1:16" ht="12.75">
      <c r="A848" s="62" t="str">
        <f t="shared" si="13"/>
        <v>Mauritius_GDP per capita, PPP (constant 2000 international $)</v>
      </c>
      <c r="B848" t="s">
        <v>499</v>
      </c>
      <c r="C848" t="s">
        <v>179</v>
      </c>
      <c r="D848" t="s">
        <v>436</v>
      </c>
      <c r="E848" t="s">
        <v>437</v>
      </c>
      <c r="F848">
        <v>8199.6858140014</v>
      </c>
      <c r="G848">
        <v>8571.78670311741</v>
      </c>
      <c r="H848">
        <v>8991.06093823242</v>
      </c>
      <c r="I848">
        <v>9394.79953149307</v>
      </c>
      <c r="J848">
        <v>9677.49326610314</v>
      </c>
      <c r="K848">
        <v>10104.526030884</v>
      </c>
      <c r="L848">
        <v>10289.9359602813</v>
      </c>
      <c r="M848">
        <v>10508.8279975607</v>
      </c>
      <c r="N848">
        <v>10908.7783081469</v>
      </c>
      <c r="O848">
        <v>11316.6930362069</v>
      </c>
      <c r="P848">
        <v>11622.1282304709</v>
      </c>
    </row>
    <row r="849" spans="1:16" ht="12.75">
      <c r="A849" s="62" t="str">
        <f t="shared" si="13"/>
        <v>Mauritius_GINI index</v>
      </c>
      <c r="B849" t="s">
        <v>499</v>
      </c>
      <c r="C849" t="s">
        <v>179</v>
      </c>
      <c r="D849" t="s">
        <v>438</v>
      </c>
      <c r="E849" t="s">
        <v>439</v>
      </c>
      <c r="F849" t="s">
        <v>193</v>
      </c>
      <c r="G849" t="s">
        <v>193</v>
      </c>
      <c r="H849" t="s">
        <v>193</v>
      </c>
      <c r="I849" t="s">
        <v>193</v>
      </c>
      <c r="J849" t="s">
        <v>193</v>
      </c>
      <c r="K849" t="s">
        <v>193</v>
      </c>
      <c r="L849" t="s">
        <v>193</v>
      </c>
      <c r="M849" t="s">
        <v>193</v>
      </c>
      <c r="N849" t="s">
        <v>193</v>
      </c>
      <c r="O849" t="s">
        <v>193</v>
      </c>
      <c r="P849" t="s">
        <v>193</v>
      </c>
    </row>
    <row r="850" spans="1:16" ht="12.75">
      <c r="A850" s="62" t="str">
        <f t="shared" si="13"/>
        <v>Mexico_Poverty headcount ratio at national poverty line (% of population)</v>
      </c>
      <c r="B850" t="s">
        <v>500</v>
      </c>
      <c r="C850" t="s">
        <v>251</v>
      </c>
      <c r="D850" t="s">
        <v>408</v>
      </c>
      <c r="E850" t="s">
        <v>409</v>
      </c>
      <c r="F850" t="s">
        <v>193</v>
      </c>
      <c r="G850" t="s">
        <v>193</v>
      </c>
      <c r="H850" t="s">
        <v>193</v>
      </c>
      <c r="I850" t="s">
        <v>193</v>
      </c>
      <c r="J850">
        <v>24.2</v>
      </c>
      <c r="K850" t="s">
        <v>193</v>
      </c>
      <c r="L850" t="s">
        <v>193</v>
      </c>
      <c r="M850" t="s">
        <v>193</v>
      </c>
      <c r="N850">
        <v>17.6</v>
      </c>
      <c r="O850" t="s">
        <v>193</v>
      </c>
      <c r="P850" t="s">
        <v>193</v>
      </c>
    </row>
    <row r="851" spans="1:16" ht="12.75">
      <c r="A851" s="62" t="str">
        <f t="shared" si="13"/>
        <v>Mexico_Poverty headcount ratio at $2 a day (PPP) (% of population)</v>
      </c>
      <c r="B851" t="s">
        <v>500</v>
      </c>
      <c r="C851" t="s">
        <v>251</v>
      </c>
      <c r="D851" t="s">
        <v>410</v>
      </c>
      <c r="E851" t="s">
        <v>411</v>
      </c>
      <c r="F851">
        <v>27.82</v>
      </c>
      <c r="G851" t="s">
        <v>193</v>
      </c>
      <c r="H851">
        <v>27.49</v>
      </c>
      <c r="I851" t="s">
        <v>193</v>
      </c>
      <c r="J851">
        <v>22.56</v>
      </c>
      <c r="K851" t="s">
        <v>193</v>
      </c>
      <c r="L851">
        <v>21.19</v>
      </c>
      <c r="M851" t="s">
        <v>193</v>
      </c>
      <c r="N851">
        <v>11.647</v>
      </c>
      <c r="O851" t="s">
        <v>193</v>
      </c>
      <c r="P851" t="s">
        <v>193</v>
      </c>
    </row>
    <row r="852" spans="1:16" ht="12.75">
      <c r="A852" s="62" t="str">
        <f t="shared" si="13"/>
        <v>Mexico_Poverty headcount ratio at $1 a day (PPP) (% of population)</v>
      </c>
      <c r="B852" t="s">
        <v>500</v>
      </c>
      <c r="C852" t="s">
        <v>251</v>
      </c>
      <c r="D852" t="s">
        <v>412</v>
      </c>
      <c r="E852" t="s">
        <v>413</v>
      </c>
      <c r="F852">
        <v>7.77</v>
      </c>
      <c r="G852" t="s">
        <v>193</v>
      </c>
      <c r="H852">
        <v>8.8</v>
      </c>
      <c r="I852" t="s">
        <v>193</v>
      </c>
      <c r="J852">
        <v>5.87</v>
      </c>
      <c r="K852" t="s">
        <v>193</v>
      </c>
      <c r="L852">
        <v>4.31</v>
      </c>
      <c r="M852" t="s">
        <v>193</v>
      </c>
      <c r="N852">
        <v>3.02</v>
      </c>
      <c r="O852" t="s">
        <v>193</v>
      </c>
      <c r="P852" t="s">
        <v>193</v>
      </c>
    </row>
    <row r="853" spans="1:16" ht="12.75">
      <c r="A853" s="62" t="str">
        <f t="shared" si="13"/>
        <v>Mexico_Poverty gap at $1 a day (PPP) (%)</v>
      </c>
      <c r="B853" t="s">
        <v>500</v>
      </c>
      <c r="C853" t="s">
        <v>251</v>
      </c>
      <c r="D853" t="s">
        <v>414</v>
      </c>
      <c r="E853" t="s">
        <v>415</v>
      </c>
      <c r="F853">
        <v>1.86</v>
      </c>
      <c r="G853" t="s">
        <v>193</v>
      </c>
      <c r="H853">
        <v>2.28</v>
      </c>
      <c r="I853" t="s">
        <v>193</v>
      </c>
      <c r="J853">
        <v>1.57</v>
      </c>
      <c r="K853" t="s">
        <v>193</v>
      </c>
      <c r="L853">
        <v>0.87</v>
      </c>
      <c r="M853" t="s">
        <v>193</v>
      </c>
      <c r="N853">
        <v>1.419</v>
      </c>
      <c r="O853" t="s">
        <v>193</v>
      </c>
      <c r="P853" t="s">
        <v>193</v>
      </c>
    </row>
    <row r="854" spans="1:16" ht="12.75">
      <c r="A854" s="62" t="str">
        <f t="shared" si="13"/>
        <v>Mexico_Poverty gap at $2 a day (PPP) (%)</v>
      </c>
      <c r="B854" t="s">
        <v>500</v>
      </c>
      <c r="C854" t="s">
        <v>251</v>
      </c>
      <c r="D854" t="s">
        <v>416</v>
      </c>
      <c r="E854" t="s">
        <v>417</v>
      </c>
      <c r="F854">
        <v>9.53</v>
      </c>
      <c r="G854" t="s">
        <v>193</v>
      </c>
      <c r="H854">
        <v>10.06</v>
      </c>
      <c r="I854" t="s">
        <v>193</v>
      </c>
      <c r="J854">
        <v>7.82</v>
      </c>
      <c r="K854" t="s">
        <v>193</v>
      </c>
      <c r="L854">
        <v>6.73</v>
      </c>
      <c r="M854" t="s">
        <v>193</v>
      </c>
      <c r="N854">
        <v>4.15</v>
      </c>
      <c r="O854" t="s">
        <v>193</v>
      </c>
      <c r="P854" t="s">
        <v>193</v>
      </c>
    </row>
    <row r="855" spans="1:16" ht="12.75">
      <c r="A855" s="62" t="str">
        <f t="shared" si="13"/>
        <v>Mexico_Population, total</v>
      </c>
      <c r="B855" t="s">
        <v>500</v>
      </c>
      <c r="C855" t="s">
        <v>251</v>
      </c>
      <c r="D855" t="s">
        <v>418</v>
      </c>
      <c r="E855" t="s">
        <v>419</v>
      </c>
      <c r="F855">
        <v>92570752</v>
      </c>
      <c r="G855">
        <v>93926296</v>
      </c>
      <c r="H855">
        <v>95251064</v>
      </c>
      <c r="I855">
        <v>96584488</v>
      </c>
      <c r="J855">
        <v>97966000</v>
      </c>
      <c r="K855">
        <v>98994087.3835958</v>
      </c>
      <c r="L855">
        <v>100002340.268082</v>
      </c>
      <c r="M855">
        <v>101020862.188892</v>
      </c>
      <c r="N855">
        <v>102049757.735962</v>
      </c>
      <c r="O855">
        <v>103089132.564478</v>
      </c>
      <c r="P855">
        <v>104221360.860591</v>
      </c>
    </row>
    <row r="856" spans="1:16" ht="12.75">
      <c r="A856" s="62" t="str">
        <f t="shared" si="13"/>
        <v>Mexico_Public spending on education, total (% of GDP)</v>
      </c>
      <c r="B856" t="s">
        <v>500</v>
      </c>
      <c r="C856" t="s">
        <v>251</v>
      </c>
      <c r="D856" t="s">
        <v>420</v>
      </c>
      <c r="E856" t="s">
        <v>421</v>
      </c>
      <c r="F856" t="s">
        <v>193</v>
      </c>
      <c r="G856" t="s">
        <v>193</v>
      </c>
      <c r="H856" t="s">
        <v>193</v>
      </c>
      <c r="I856">
        <v>4.40987351542887</v>
      </c>
      <c r="J856">
        <v>4.8609348499529</v>
      </c>
      <c r="K856">
        <v>5.1587517615198</v>
      </c>
      <c r="L856">
        <v>5.29938345224888</v>
      </c>
      <c r="M856">
        <v>5.78870204187139</v>
      </c>
      <c r="N856">
        <v>5.40967394207689</v>
      </c>
      <c r="O856" t="s">
        <v>193</v>
      </c>
      <c r="P856" t="s">
        <v>193</v>
      </c>
    </row>
    <row r="857" spans="1:16" ht="12.75">
      <c r="A857" s="62" t="str">
        <f t="shared" si="13"/>
        <v>Mexico_Public spending on education, total (% of government expenditure)</v>
      </c>
      <c r="B857" t="s">
        <v>500</v>
      </c>
      <c r="C857" t="s">
        <v>251</v>
      </c>
      <c r="D857" t="s">
        <v>422</v>
      </c>
      <c r="E857" t="s">
        <v>423</v>
      </c>
      <c r="F857" t="s">
        <v>193</v>
      </c>
      <c r="G857" t="s">
        <v>193</v>
      </c>
      <c r="H857" t="s">
        <v>193</v>
      </c>
      <c r="I857">
        <v>22.56967962567</v>
      </c>
      <c r="J857">
        <v>23.6246501272546</v>
      </c>
      <c r="K857">
        <v>24.3228696951357</v>
      </c>
      <c r="L857" t="s">
        <v>193</v>
      </c>
      <c r="M857">
        <v>23.8186015731758</v>
      </c>
      <c r="N857">
        <v>25.6126941280474</v>
      </c>
      <c r="O857" t="s">
        <v>193</v>
      </c>
      <c r="P857" t="s">
        <v>193</v>
      </c>
    </row>
    <row r="858" spans="1:16" ht="12.75">
      <c r="A858" s="62" t="str">
        <f t="shared" si="13"/>
        <v>Mexico_Health expenditure, public (% of total health expenditure)</v>
      </c>
      <c r="B858" t="s">
        <v>500</v>
      </c>
      <c r="C858" t="s">
        <v>251</v>
      </c>
      <c r="D858" t="s">
        <v>424</v>
      </c>
      <c r="E858" t="s">
        <v>425</v>
      </c>
      <c r="F858" t="s">
        <v>193</v>
      </c>
      <c r="G858" t="s">
        <v>193</v>
      </c>
      <c r="H858" t="s">
        <v>193</v>
      </c>
      <c r="I858" t="s">
        <v>193</v>
      </c>
      <c r="J858">
        <v>46.6</v>
      </c>
      <c r="K858">
        <v>44.9</v>
      </c>
      <c r="L858">
        <v>43.9</v>
      </c>
      <c r="M858">
        <v>44.1</v>
      </c>
      <c r="N858">
        <v>46.4</v>
      </c>
      <c r="O858" t="s">
        <v>193</v>
      </c>
      <c r="P858" t="s">
        <v>193</v>
      </c>
    </row>
    <row r="859" spans="1:16" ht="12.75">
      <c r="A859" s="62" t="str">
        <f t="shared" si="13"/>
        <v>Mexico_Health expenditure, public (% of GDP)</v>
      </c>
      <c r="B859" t="s">
        <v>500</v>
      </c>
      <c r="C859" t="s">
        <v>251</v>
      </c>
      <c r="D859" t="s">
        <v>426</v>
      </c>
      <c r="E859" t="s">
        <v>427</v>
      </c>
      <c r="F859" t="s">
        <v>193</v>
      </c>
      <c r="G859" t="s">
        <v>193</v>
      </c>
      <c r="H859" t="s">
        <v>193</v>
      </c>
      <c r="I859" t="s">
        <v>193</v>
      </c>
      <c r="J859">
        <v>2.6096</v>
      </c>
      <c r="K859">
        <v>2.694</v>
      </c>
      <c r="L859">
        <v>2.7218</v>
      </c>
      <c r="M859">
        <v>2.7783</v>
      </c>
      <c r="N859">
        <v>3.016</v>
      </c>
      <c r="O859" t="s">
        <v>193</v>
      </c>
      <c r="P859" t="s">
        <v>193</v>
      </c>
    </row>
    <row r="860" spans="1:16" ht="12.75">
      <c r="A860" s="62" t="str">
        <f t="shared" si="13"/>
        <v>Mexico_Health expenditure, total (% of GDP)</v>
      </c>
      <c r="B860" t="s">
        <v>500</v>
      </c>
      <c r="C860" t="s">
        <v>251</v>
      </c>
      <c r="D860" t="s">
        <v>428</v>
      </c>
      <c r="E860" t="s">
        <v>429</v>
      </c>
      <c r="F860" t="s">
        <v>193</v>
      </c>
      <c r="G860" t="s">
        <v>193</v>
      </c>
      <c r="H860" t="s">
        <v>193</v>
      </c>
      <c r="I860" t="s">
        <v>193</v>
      </c>
      <c r="J860">
        <v>5.6</v>
      </c>
      <c r="K860">
        <v>6</v>
      </c>
      <c r="L860">
        <v>6.2</v>
      </c>
      <c r="M860">
        <v>6.3</v>
      </c>
      <c r="N860">
        <v>6.5</v>
      </c>
      <c r="O860" t="s">
        <v>193</v>
      </c>
      <c r="P860" t="s">
        <v>193</v>
      </c>
    </row>
    <row r="861" spans="1:16" ht="12.75">
      <c r="A861" s="62" t="str">
        <f t="shared" si="13"/>
        <v>Mexico_GDP (current LCU)</v>
      </c>
      <c r="B861" t="s">
        <v>500</v>
      </c>
      <c r="C861" t="s">
        <v>251</v>
      </c>
      <c r="D861" t="s">
        <v>430</v>
      </c>
      <c r="E861" t="s">
        <v>431</v>
      </c>
      <c r="F861">
        <v>2529908490240</v>
      </c>
      <c r="G861">
        <v>3179120427008</v>
      </c>
      <c r="H861">
        <v>3848218345472</v>
      </c>
      <c r="I861">
        <v>4600487739392</v>
      </c>
      <c r="J861">
        <v>5497735348224</v>
      </c>
      <c r="K861">
        <v>5811776520192</v>
      </c>
      <c r="L861">
        <v>6267474018304</v>
      </c>
      <c r="M861">
        <v>6895356608512</v>
      </c>
      <c r="N861">
        <v>7713796390912</v>
      </c>
      <c r="O861">
        <v>8366205173760</v>
      </c>
      <c r="P861">
        <v>9155490349056</v>
      </c>
    </row>
    <row r="862" spans="1:16" ht="12.75">
      <c r="A862" s="62" t="str">
        <f t="shared" si="13"/>
        <v>Mexico_GDP (current US$)</v>
      </c>
      <c r="B862" t="s">
        <v>500</v>
      </c>
      <c r="C862" t="s">
        <v>251</v>
      </c>
      <c r="D862" t="s">
        <v>432</v>
      </c>
      <c r="E862" t="s">
        <v>433</v>
      </c>
      <c r="F862">
        <v>332908986368</v>
      </c>
      <c r="G862">
        <v>401480122368</v>
      </c>
      <c r="H862">
        <v>421214781440</v>
      </c>
      <c r="I862">
        <v>481202438144</v>
      </c>
      <c r="J862">
        <v>581426413568</v>
      </c>
      <c r="K862">
        <v>622092681216</v>
      </c>
      <c r="L862">
        <v>649075556352</v>
      </c>
      <c r="M862">
        <v>639109890048</v>
      </c>
      <c r="N862">
        <v>683485626368</v>
      </c>
      <c r="O862">
        <v>767690276864</v>
      </c>
      <c r="P862">
        <v>839181926400</v>
      </c>
    </row>
    <row r="863" spans="1:16" ht="12.75">
      <c r="A863" s="62" t="str">
        <f t="shared" si="13"/>
        <v>Mexico_GDP per capita, PPP (current international $)</v>
      </c>
      <c r="B863" t="s">
        <v>500</v>
      </c>
      <c r="C863" t="s">
        <v>251</v>
      </c>
      <c r="D863" t="s">
        <v>434</v>
      </c>
      <c r="E863" t="s">
        <v>435</v>
      </c>
      <c r="F863">
        <v>7416.31077498275</v>
      </c>
      <c r="G863">
        <v>7934.88561959003</v>
      </c>
      <c r="H863">
        <v>8299.63709605541</v>
      </c>
      <c r="I863">
        <v>8624.93239184932</v>
      </c>
      <c r="J863">
        <v>9262.28821641546</v>
      </c>
      <c r="K863">
        <v>9372.15435648954</v>
      </c>
      <c r="L863">
        <v>9518.06460669489</v>
      </c>
      <c r="M863">
        <v>9743.79635064999</v>
      </c>
      <c r="N863">
        <v>10312.1706249357</v>
      </c>
      <c r="O863">
        <v>10810.7876490683</v>
      </c>
      <c r="P863">
        <v>11531.5902375991</v>
      </c>
    </row>
    <row r="864" spans="1:16" ht="12.75">
      <c r="A864" s="62" t="str">
        <f t="shared" si="13"/>
        <v>Mexico_GDP per capita, PPP (constant 2000 international $)</v>
      </c>
      <c r="B864" t="s">
        <v>500</v>
      </c>
      <c r="C864" t="s">
        <v>251</v>
      </c>
      <c r="D864" t="s">
        <v>436</v>
      </c>
      <c r="E864" t="s">
        <v>437</v>
      </c>
      <c r="F864">
        <v>7902.7185607399</v>
      </c>
      <c r="G864">
        <v>8316.3916673158</v>
      </c>
      <c r="H864">
        <v>8603.09654033292</v>
      </c>
      <c r="I864">
        <v>8812.94344031404</v>
      </c>
      <c r="J864">
        <v>9262.28821641546</v>
      </c>
      <c r="K864">
        <v>9151.70730653296</v>
      </c>
      <c r="L864">
        <v>9134.32988728942</v>
      </c>
      <c r="M864">
        <v>9164.44306369569</v>
      </c>
      <c r="N864">
        <v>9451.02825085236</v>
      </c>
      <c r="O864">
        <v>9617.88814780151</v>
      </c>
      <c r="P864">
        <v>9967.29843506292</v>
      </c>
    </row>
    <row r="865" spans="1:16" ht="12.75">
      <c r="A865" s="62" t="str">
        <f t="shared" si="13"/>
        <v>Mexico_GINI index</v>
      </c>
      <c r="B865" t="s">
        <v>500</v>
      </c>
      <c r="C865" t="s">
        <v>251</v>
      </c>
      <c r="D865" t="s">
        <v>438</v>
      </c>
      <c r="E865" t="s">
        <v>439</v>
      </c>
      <c r="F865">
        <v>48.54</v>
      </c>
      <c r="G865" t="s">
        <v>193</v>
      </c>
      <c r="H865">
        <v>48.99</v>
      </c>
      <c r="I865" t="s">
        <v>193</v>
      </c>
      <c r="J865">
        <v>51.87</v>
      </c>
      <c r="K865" t="s">
        <v>193</v>
      </c>
      <c r="L865">
        <v>49.68</v>
      </c>
      <c r="M865" t="s">
        <v>193</v>
      </c>
      <c r="N865">
        <v>46.05</v>
      </c>
      <c r="O865" t="s">
        <v>193</v>
      </c>
      <c r="P865" t="s">
        <v>193</v>
      </c>
    </row>
    <row r="866" spans="1:16" ht="12.75">
      <c r="A866" s="62" t="str">
        <f t="shared" si="13"/>
        <v>Moldova_Poverty headcount ratio at national poverty line (% of population)</v>
      </c>
      <c r="B866" t="s">
        <v>501</v>
      </c>
      <c r="C866" t="s">
        <v>217</v>
      </c>
      <c r="D866" t="s">
        <v>408</v>
      </c>
      <c r="E866" t="s">
        <v>409</v>
      </c>
      <c r="F866" t="s">
        <v>193</v>
      </c>
      <c r="G866" t="s">
        <v>193</v>
      </c>
      <c r="H866" t="s">
        <v>193</v>
      </c>
      <c r="I866" t="s">
        <v>193</v>
      </c>
      <c r="J866" t="s">
        <v>193</v>
      </c>
      <c r="K866">
        <v>62.4</v>
      </c>
      <c r="L866">
        <v>48.5</v>
      </c>
      <c r="M866" t="s">
        <v>193</v>
      </c>
      <c r="N866" t="s">
        <v>193</v>
      </c>
      <c r="O866" t="s">
        <v>193</v>
      </c>
      <c r="P866" t="s">
        <v>193</v>
      </c>
    </row>
    <row r="867" spans="1:16" ht="12.75">
      <c r="A867" s="62" t="str">
        <f aca="true" t="shared" si="14" ref="A867:A930">C867&amp;"_"&amp;E867</f>
        <v>Moldova_Poverty headcount ratio at $2 a day (PPP) (% of population)</v>
      </c>
      <c r="B867" t="s">
        <v>501</v>
      </c>
      <c r="C867" t="s">
        <v>217</v>
      </c>
      <c r="D867" t="s">
        <v>410</v>
      </c>
      <c r="E867" t="s">
        <v>411</v>
      </c>
      <c r="F867" t="s">
        <v>193</v>
      </c>
      <c r="G867">
        <v>35.68</v>
      </c>
      <c r="H867" t="s">
        <v>193</v>
      </c>
      <c r="I867">
        <v>74.3</v>
      </c>
      <c r="J867" t="s">
        <v>193</v>
      </c>
      <c r="K867">
        <v>64.05</v>
      </c>
      <c r="L867" t="s">
        <v>193</v>
      </c>
      <c r="M867">
        <v>20.75</v>
      </c>
      <c r="N867" t="s">
        <v>193</v>
      </c>
      <c r="O867" t="s">
        <v>193</v>
      </c>
      <c r="P867" t="s">
        <v>193</v>
      </c>
    </row>
    <row r="868" spans="1:16" ht="12.75">
      <c r="A868" s="62" t="str">
        <f t="shared" si="14"/>
        <v>Moldova_Poverty headcount ratio at $1 a day (PPP) (% of population)</v>
      </c>
      <c r="B868" t="s">
        <v>501</v>
      </c>
      <c r="C868" t="s">
        <v>217</v>
      </c>
      <c r="D868" t="s">
        <v>412</v>
      </c>
      <c r="E868" t="s">
        <v>413</v>
      </c>
      <c r="F868" t="s">
        <v>193</v>
      </c>
      <c r="G868">
        <v>8.19</v>
      </c>
      <c r="H868" t="s">
        <v>193</v>
      </c>
      <c r="I868">
        <v>32.24</v>
      </c>
      <c r="J868" t="s">
        <v>193</v>
      </c>
      <c r="K868">
        <v>21.78</v>
      </c>
      <c r="L868" t="s">
        <v>193</v>
      </c>
      <c r="M868">
        <v>2</v>
      </c>
      <c r="N868" t="s">
        <v>193</v>
      </c>
      <c r="O868" t="s">
        <v>193</v>
      </c>
      <c r="P868" t="s">
        <v>193</v>
      </c>
    </row>
    <row r="869" spans="1:16" ht="12.75">
      <c r="A869" s="62" t="str">
        <f t="shared" si="14"/>
        <v>Moldova_Poverty gap at $1 a day (PPP) (%)</v>
      </c>
      <c r="B869" t="s">
        <v>501</v>
      </c>
      <c r="C869" t="s">
        <v>217</v>
      </c>
      <c r="D869" t="s">
        <v>414</v>
      </c>
      <c r="E869" t="s">
        <v>415</v>
      </c>
      <c r="F869" t="s">
        <v>193</v>
      </c>
      <c r="G869">
        <v>2.17</v>
      </c>
      <c r="H869" t="s">
        <v>193</v>
      </c>
      <c r="I869">
        <v>9.93</v>
      </c>
      <c r="J869" t="s">
        <v>193</v>
      </c>
      <c r="K869">
        <v>5.67</v>
      </c>
      <c r="L869" t="s">
        <v>193</v>
      </c>
      <c r="M869">
        <v>0.5</v>
      </c>
      <c r="N869" t="s">
        <v>193</v>
      </c>
      <c r="O869" t="s">
        <v>193</v>
      </c>
      <c r="P869" t="s">
        <v>193</v>
      </c>
    </row>
    <row r="870" spans="1:16" ht="12.75">
      <c r="A870" s="62" t="str">
        <f t="shared" si="14"/>
        <v>Moldova_Poverty gap at $2 a day (PPP) (%)</v>
      </c>
      <c r="B870" t="s">
        <v>501</v>
      </c>
      <c r="C870" t="s">
        <v>217</v>
      </c>
      <c r="D870" t="s">
        <v>416</v>
      </c>
      <c r="E870" t="s">
        <v>417</v>
      </c>
      <c r="F870" t="s">
        <v>193</v>
      </c>
      <c r="G870">
        <v>11.88</v>
      </c>
      <c r="H870" t="s">
        <v>193</v>
      </c>
      <c r="I870">
        <v>32.77</v>
      </c>
      <c r="J870" t="s">
        <v>193</v>
      </c>
      <c r="K870">
        <v>25.15</v>
      </c>
      <c r="L870" t="s">
        <v>193</v>
      </c>
      <c r="M870">
        <v>4.71</v>
      </c>
      <c r="N870" t="s">
        <v>193</v>
      </c>
      <c r="O870" t="s">
        <v>193</v>
      </c>
      <c r="P870" t="s">
        <v>193</v>
      </c>
    </row>
    <row r="871" spans="1:16" ht="12.75">
      <c r="A871" s="62" t="str">
        <f t="shared" si="14"/>
        <v>Moldova_Population, total</v>
      </c>
      <c r="B871" t="s">
        <v>501</v>
      </c>
      <c r="C871" t="s">
        <v>217</v>
      </c>
      <c r="D871" t="s">
        <v>418</v>
      </c>
      <c r="E871" t="s">
        <v>419</v>
      </c>
      <c r="F871">
        <v>4347168</v>
      </c>
      <c r="G871">
        <v>4304989</v>
      </c>
      <c r="H871">
        <v>4255183</v>
      </c>
      <c r="I871">
        <v>4201087</v>
      </c>
      <c r="J871">
        <v>4145437</v>
      </c>
      <c r="K871">
        <v>4089202</v>
      </c>
      <c r="L871">
        <v>4032768</v>
      </c>
      <c r="M871">
        <v>3977596</v>
      </c>
      <c r="N871">
        <v>3925170</v>
      </c>
      <c r="O871">
        <v>3876661</v>
      </c>
      <c r="P871">
        <v>3843000</v>
      </c>
    </row>
    <row r="872" spans="1:16" ht="12.75">
      <c r="A872" s="62" t="str">
        <f t="shared" si="14"/>
        <v>Moldova_Public spending on education, total (% of GDP)</v>
      </c>
      <c r="B872" t="s">
        <v>501</v>
      </c>
      <c r="C872" t="s">
        <v>217</v>
      </c>
      <c r="D872" t="s">
        <v>420</v>
      </c>
      <c r="E872" t="s">
        <v>421</v>
      </c>
      <c r="F872" t="s">
        <v>193</v>
      </c>
      <c r="G872" t="s">
        <v>193</v>
      </c>
      <c r="H872" t="s">
        <v>193</v>
      </c>
      <c r="I872">
        <v>4.00354632039172</v>
      </c>
      <c r="J872">
        <v>4.00388435161162</v>
      </c>
      <c r="K872">
        <v>4.34510684070777</v>
      </c>
      <c r="L872">
        <v>4.91889935450733</v>
      </c>
      <c r="M872">
        <v>4.91872990942325</v>
      </c>
      <c r="N872" t="s">
        <v>193</v>
      </c>
      <c r="O872">
        <v>4.26703384052119</v>
      </c>
      <c r="P872" t="s">
        <v>193</v>
      </c>
    </row>
    <row r="873" spans="1:16" ht="12.75">
      <c r="A873" s="62" t="str">
        <f t="shared" si="14"/>
        <v>Moldova_Public spending on education, total (% of government expenditure)</v>
      </c>
      <c r="B873" t="s">
        <v>501</v>
      </c>
      <c r="C873" t="s">
        <v>217</v>
      </c>
      <c r="D873" t="s">
        <v>422</v>
      </c>
      <c r="E873" t="s">
        <v>423</v>
      </c>
      <c r="F873" t="s">
        <v>193</v>
      </c>
      <c r="G873" t="s">
        <v>193</v>
      </c>
      <c r="H873" t="s">
        <v>193</v>
      </c>
      <c r="I873" t="s">
        <v>193</v>
      </c>
      <c r="J873">
        <v>15.025299850075</v>
      </c>
      <c r="K873">
        <v>16.9815578394568</v>
      </c>
      <c r="L873">
        <v>21.3607747251689</v>
      </c>
      <c r="M873" t="s">
        <v>193</v>
      </c>
      <c r="N873" t="s">
        <v>193</v>
      </c>
      <c r="O873">
        <v>21.1485636188956</v>
      </c>
      <c r="P873" t="s">
        <v>193</v>
      </c>
    </row>
    <row r="874" spans="1:16" ht="12.75">
      <c r="A874" s="62" t="str">
        <f t="shared" si="14"/>
        <v>Moldova_Health expenditure, public (% of total health expenditure)</v>
      </c>
      <c r="B874" t="s">
        <v>501</v>
      </c>
      <c r="C874" t="s">
        <v>217</v>
      </c>
      <c r="D874" t="s">
        <v>424</v>
      </c>
      <c r="E874" t="s">
        <v>425</v>
      </c>
      <c r="F874" t="s">
        <v>193</v>
      </c>
      <c r="G874" t="s">
        <v>193</v>
      </c>
      <c r="H874" t="s">
        <v>193</v>
      </c>
      <c r="I874" t="s">
        <v>193</v>
      </c>
      <c r="J874">
        <v>48.5</v>
      </c>
      <c r="K874">
        <v>48.7</v>
      </c>
      <c r="L874">
        <v>51.8</v>
      </c>
      <c r="M874">
        <v>51</v>
      </c>
      <c r="N874">
        <v>56.8</v>
      </c>
      <c r="O874" t="s">
        <v>193</v>
      </c>
      <c r="P874" t="s">
        <v>193</v>
      </c>
    </row>
    <row r="875" spans="1:16" ht="12.75">
      <c r="A875" s="62" t="str">
        <f t="shared" si="14"/>
        <v>Moldova_Health expenditure, public (% of GDP)</v>
      </c>
      <c r="B875" t="s">
        <v>501</v>
      </c>
      <c r="C875" t="s">
        <v>217</v>
      </c>
      <c r="D875" t="s">
        <v>426</v>
      </c>
      <c r="E875" t="s">
        <v>427</v>
      </c>
      <c r="F875" t="s">
        <v>193</v>
      </c>
      <c r="G875" t="s">
        <v>193</v>
      </c>
      <c r="H875" t="s">
        <v>193</v>
      </c>
      <c r="I875" t="s">
        <v>193</v>
      </c>
      <c r="J875">
        <v>2.9585</v>
      </c>
      <c r="K875">
        <v>2.9707</v>
      </c>
      <c r="L875">
        <v>3.3152</v>
      </c>
      <c r="M875">
        <v>3.468</v>
      </c>
      <c r="N875">
        <v>4.2032</v>
      </c>
      <c r="O875" t="s">
        <v>193</v>
      </c>
      <c r="P875" t="s">
        <v>193</v>
      </c>
    </row>
    <row r="876" spans="1:16" ht="12.75">
      <c r="A876" s="62" t="str">
        <f t="shared" si="14"/>
        <v>Moldova_Health expenditure, total (% of GDP)</v>
      </c>
      <c r="B876" t="s">
        <v>501</v>
      </c>
      <c r="C876" t="s">
        <v>217</v>
      </c>
      <c r="D876" t="s">
        <v>428</v>
      </c>
      <c r="E876" t="s">
        <v>429</v>
      </c>
      <c r="F876" t="s">
        <v>193</v>
      </c>
      <c r="G876" t="s">
        <v>193</v>
      </c>
      <c r="H876" t="s">
        <v>193</v>
      </c>
      <c r="I876" t="s">
        <v>193</v>
      </c>
      <c r="J876">
        <v>6.1</v>
      </c>
      <c r="K876">
        <v>6.1</v>
      </c>
      <c r="L876">
        <v>6.4</v>
      </c>
      <c r="M876">
        <v>6.8</v>
      </c>
      <c r="N876">
        <v>7.4</v>
      </c>
      <c r="O876" t="s">
        <v>193</v>
      </c>
      <c r="P876" t="s">
        <v>193</v>
      </c>
    </row>
    <row r="877" spans="1:16" ht="12.75">
      <c r="A877" s="62" t="str">
        <f t="shared" si="14"/>
        <v>Moldova_GDP (current LCU)</v>
      </c>
      <c r="B877" t="s">
        <v>501</v>
      </c>
      <c r="C877" t="s">
        <v>217</v>
      </c>
      <c r="D877" t="s">
        <v>430</v>
      </c>
      <c r="E877" t="s">
        <v>431</v>
      </c>
      <c r="F877">
        <v>7797600256</v>
      </c>
      <c r="G877">
        <v>8916929536</v>
      </c>
      <c r="H877">
        <v>8804100096</v>
      </c>
      <c r="I877">
        <v>12321575936</v>
      </c>
      <c r="J877">
        <v>16019443712</v>
      </c>
      <c r="K877">
        <v>19051315200</v>
      </c>
      <c r="L877">
        <v>22555858944</v>
      </c>
      <c r="M877">
        <v>27618918400</v>
      </c>
      <c r="N877">
        <v>32031776768</v>
      </c>
      <c r="O877">
        <v>37651869696</v>
      </c>
      <c r="P877">
        <v>44068794368</v>
      </c>
    </row>
    <row r="878" spans="1:16" ht="12.75">
      <c r="A878" s="62" t="str">
        <f t="shared" si="14"/>
        <v>Moldova_GDP (current US$)</v>
      </c>
      <c r="B878" t="s">
        <v>501</v>
      </c>
      <c r="C878" t="s">
        <v>217</v>
      </c>
      <c r="D878" t="s">
        <v>432</v>
      </c>
      <c r="E878" t="s">
        <v>433</v>
      </c>
      <c r="F878">
        <v>1695130496</v>
      </c>
      <c r="G878">
        <v>1930071424</v>
      </c>
      <c r="H878">
        <v>1639497216</v>
      </c>
      <c r="I878">
        <v>1170785024</v>
      </c>
      <c r="J878">
        <v>1288420224</v>
      </c>
      <c r="K878">
        <v>1480656896</v>
      </c>
      <c r="L878">
        <v>1661818112</v>
      </c>
      <c r="M878">
        <v>1980901504</v>
      </c>
      <c r="N878">
        <v>2598231552</v>
      </c>
      <c r="O878">
        <v>2988172544</v>
      </c>
      <c r="P878">
        <v>3265583872</v>
      </c>
    </row>
    <row r="879" spans="1:16" ht="12.75">
      <c r="A879" s="62" t="str">
        <f t="shared" si="14"/>
        <v>Moldova_GDP per capita, PPP (current international $)</v>
      </c>
      <c r="B879" t="s">
        <v>501</v>
      </c>
      <c r="C879" t="s">
        <v>217</v>
      </c>
      <c r="D879" t="s">
        <v>434</v>
      </c>
      <c r="E879" t="s">
        <v>435</v>
      </c>
      <c r="F879">
        <v>1297.42663331023</v>
      </c>
      <c r="G879">
        <v>1353.33479563239</v>
      </c>
      <c r="H879">
        <v>1294.40220785464</v>
      </c>
      <c r="I879">
        <v>1284.79346398003</v>
      </c>
      <c r="J879">
        <v>1358.36258840004</v>
      </c>
      <c r="K879">
        <v>1496.23624529804</v>
      </c>
      <c r="L879">
        <v>1664.13632373673</v>
      </c>
      <c r="M879">
        <v>1835.9804091404</v>
      </c>
      <c r="N879">
        <v>2049.91051308506</v>
      </c>
      <c r="O879">
        <v>2298.48132650244</v>
      </c>
      <c r="P879">
        <v>2488.63173632366</v>
      </c>
    </row>
    <row r="880" spans="1:16" ht="12.75">
      <c r="A880" s="62" t="str">
        <f t="shared" si="14"/>
        <v>Moldova_GDP per capita, PPP (constant 2000 international $)</v>
      </c>
      <c r="B880" t="s">
        <v>501</v>
      </c>
      <c r="C880" t="s">
        <v>217</v>
      </c>
      <c r="D880" t="s">
        <v>436</v>
      </c>
      <c r="E880" t="s">
        <v>437</v>
      </c>
      <c r="F880">
        <v>1382.51994116075</v>
      </c>
      <c r="G880">
        <v>1418.402577814</v>
      </c>
      <c r="H880">
        <v>1341.72940663708</v>
      </c>
      <c r="I880">
        <v>1312.8001027859</v>
      </c>
      <c r="J880">
        <v>1358.36258840004</v>
      </c>
      <c r="K880">
        <v>1461.0425370248</v>
      </c>
      <c r="L880">
        <v>1597.04422974187</v>
      </c>
      <c r="M880">
        <v>1726.8154341614</v>
      </c>
      <c r="N880">
        <v>1878.7278523145</v>
      </c>
      <c r="O880">
        <v>2044.85898953127</v>
      </c>
      <c r="P880">
        <v>2151.04202454486</v>
      </c>
    </row>
    <row r="881" spans="1:16" ht="12.75">
      <c r="A881" s="62" t="str">
        <f t="shared" si="14"/>
        <v>Moldova_GINI index</v>
      </c>
      <c r="B881" t="s">
        <v>501</v>
      </c>
      <c r="C881" t="s">
        <v>217</v>
      </c>
      <c r="D881" t="s">
        <v>438</v>
      </c>
      <c r="E881" t="s">
        <v>439</v>
      </c>
      <c r="F881" t="s">
        <v>193</v>
      </c>
      <c r="G881">
        <v>36.9</v>
      </c>
      <c r="H881" t="s">
        <v>193</v>
      </c>
      <c r="I881">
        <v>36.86</v>
      </c>
      <c r="J881" t="s">
        <v>193</v>
      </c>
      <c r="K881">
        <v>36.18</v>
      </c>
      <c r="L881" t="s">
        <v>193</v>
      </c>
      <c r="M881">
        <v>33.22</v>
      </c>
      <c r="N881" t="s">
        <v>193</v>
      </c>
      <c r="O881" t="s">
        <v>193</v>
      </c>
      <c r="P881" t="s">
        <v>193</v>
      </c>
    </row>
    <row r="882" spans="1:16" ht="12.75">
      <c r="A882" s="62" t="str">
        <f t="shared" si="14"/>
        <v>Mongolia_Poverty headcount ratio at national poverty line (% of population)</v>
      </c>
      <c r="B882" t="s">
        <v>502</v>
      </c>
      <c r="C882" t="s">
        <v>229</v>
      </c>
      <c r="D882" t="s">
        <v>408</v>
      </c>
      <c r="E882" t="s">
        <v>409</v>
      </c>
      <c r="F882" t="s">
        <v>193</v>
      </c>
      <c r="G882" t="s">
        <v>193</v>
      </c>
      <c r="H882">
        <v>35.6</v>
      </c>
      <c r="I882" t="s">
        <v>193</v>
      </c>
      <c r="J882" t="s">
        <v>193</v>
      </c>
      <c r="K882" t="s">
        <v>193</v>
      </c>
      <c r="L882">
        <v>36.1</v>
      </c>
      <c r="M882" t="s">
        <v>193</v>
      </c>
      <c r="N882" t="s">
        <v>193</v>
      </c>
      <c r="O882" t="s">
        <v>193</v>
      </c>
      <c r="P882" t="s">
        <v>193</v>
      </c>
    </row>
    <row r="883" spans="1:16" ht="12.75">
      <c r="A883" s="62" t="str">
        <f t="shared" si="14"/>
        <v>Mongolia_Poverty headcount ratio at $2 a day (PPP) (% of population)</v>
      </c>
      <c r="B883" t="s">
        <v>502</v>
      </c>
      <c r="C883" t="s">
        <v>229</v>
      </c>
      <c r="D883" t="s">
        <v>410</v>
      </c>
      <c r="E883" t="s">
        <v>411</v>
      </c>
      <c r="F883" t="s">
        <v>193</v>
      </c>
      <c r="G883" t="s">
        <v>193</v>
      </c>
      <c r="H883">
        <v>74.91</v>
      </c>
      <c r="I883" t="s">
        <v>193</v>
      </c>
      <c r="J883" t="s">
        <v>193</v>
      </c>
      <c r="K883" t="s">
        <v>193</v>
      </c>
      <c r="L883">
        <v>44.58</v>
      </c>
      <c r="M883" t="s">
        <v>193</v>
      </c>
      <c r="N883" t="s">
        <v>193</v>
      </c>
      <c r="O883" t="s">
        <v>193</v>
      </c>
      <c r="P883" t="s">
        <v>193</v>
      </c>
    </row>
    <row r="884" spans="1:16" ht="12.75">
      <c r="A884" s="62" t="str">
        <f t="shared" si="14"/>
        <v>Mongolia_Poverty headcount ratio at $1 a day (PPP) (% of population)</v>
      </c>
      <c r="B884" t="s">
        <v>502</v>
      </c>
      <c r="C884" t="s">
        <v>229</v>
      </c>
      <c r="D884" t="s">
        <v>412</v>
      </c>
      <c r="E884" t="s">
        <v>413</v>
      </c>
      <c r="F884" t="s">
        <v>193</v>
      </c>
      <c r="G884" t="s">
        <v>193</v>
      </c>
      <c r="H884">
        <v>27.02</v>
      </c>
      <c r="I884" t="s">
        <v>193</v>
      </c>
      <c r="J884" t="s">
        <v>193</v>
      </c>
      <c r="K884" t="s">
        <v>193</v>
      </c>
      <c r="L884">
        <v>10.82</v>
      </c>
      <c r="M884" t="s">
        <v>193</v>
      </c>
      <c r="N884" t="s">
        <v>193</v>
      </c>
      <c r="O884" t="s">
        <v>193</v>
      </c>
      <c r="P884" t="s">
        <v>193</v>
      </c>
    </row>
    <row r="885" spans="1:16" ht="12.75">
      <c r="A885" s="62" t="str">
        <f t="shared" si="14"/>
        <v>Mongolia_Poverty gap at $1 a day (PPP) (%)</v>
      </c>
      <c r="B885" t="s">
        <v>502</v>
      </c>
      <c r="C885" t="s">
        <v>229</v>
      </c>
      <c r="D885" t="s">
        <v>414</v>
      </c>
      <c r="E885" t="s">
        <v>415</v>
      </c>
      <c r="F885" t="s">
        <v>193</v>
      </c>
      <c r="G885" t="s">
        <v>193</v>
      </c>
      <c r="H885">
        <v>8.08</v>
      </c>
      <c r="I885" t="s">
        <v>193</v>
      </c>
      <c r="J885" t="s">
        <v>193</v>
      </c>
      <c r="K885" t="s">
        <v>193</v>
      </c>
      <c r="L885">
        <v>2.23</v>
      </c>
      <c r="M885" t="s">
        <v>193</v>
      </c>
      <c r="N885" t="s">
        <v>193</v>
      </c>
      <c r="O885" t="s">
        <v>193</v>
      </c>
      <c r="P885" t="s">
        <v>193</v>
      </c>
    </row>
    <row r="886" spans="1:16" ht="12.75">
      <c r="A886" s="62" t="str">
        <f t="shared" si="14"/>
        <v>Mongolia_Poverty gap at $2 a day (PPP) (%)</v>
      </c>
      <c r="B886" t="s">
        <v>502</v>
      </c>
      <c r="C886" t="s">
        <v>229</v>
      </c>
      <c r="D886" t="s">
        <v>416</v>
      </c>
      <c r="E886" t="s">
        <v>417</v>
      </c>
      <c r="F886" t="s">
        <v>193</v>
      </c>
      <c r="G886" t="s">
        <v>193</v>
      </c>
      <c r="H886">
        <v>30.59</v>
      </c>
      <c r="I886" t="s">
        <v>193</v>
      </c>
      <c r="J886" t="s">
        <v>193</v>
      </c>
      <c r="K886" t="s">
        <v>193</v>
      </c>
      <c r="L886">
        <v>15.08</v>
      </c>
      <c r="M886" t="s">
        <v>193</v>
      </c>
      <c r="N886" t="s">
        <v>193</v>
      </c>
      <c r="O886" t="s">
        <v>193</v>
      </c>
      <c r="P886" t="s">
        <v>193</v>
      </c>
    </row>
    <row r="887" spans="1:16" ht="12.75">
      <c r="A887" s="62" t="str">
        <f t="shared" si="14"/>
        <v>Mongolia_Population, total</v>
      </c>
      <c r="B887" t="s">
        <v>502</v>
      </c>
      <c r="C887" t="s">
        <v>229</v>
      </c>
      <c r="D887" t="s">
        <v>418</v>
      </c>
      <c r="E887" t="s">
        <v>419</v>
      </c>
      <c r="F887">
        <v>2304359.98119837</v>
      </c>
      <c r="G887">
        <v>2331425.61620772</v>
      </c>
      <c r="H887">
        <v>2356107.59620127</v>
      </c>
      <c r="I887">
        <v>2378323.85029386</v>
      </c>
      <c r="J887">
        <v>2398000</v>
      </c>
      <c r="K887">
        <v>2421360.30338753</v>
      </c>
      <c r="L887">
        <v>2448509.02582728</v>
      </c>
      <c r="M887">
        <v>2479568.16654623</v>
      </c>
      <c r="N887">
        <v>2514678.37252355</v>
      </c>
      <c r="O887">
        <v>2554000</v>
      </c>
      <c r="P887">
        <v>2584655.21561315</v>
      </c>
    </row>
    <row r="888" spans="1:16" ht="12.75">
      <c r="A888" s="62" t="str">
        <f t="shared" si="14"/>
        <v>Mongolia_Public spending on education, total (% of GDP)</v>
      </c>
      <c r="B888" t="s">
        <v>502</v>
      </c>
      <c r="C888" t="s">
        <v>229</v>
      </c>
      <c r="D888" t="s">
        <v>420</v>
      </c>
      <c r="E888" t="s">
        <v>421</v>
      </c>
      <c r="F888" t="s">
        <v>193</v>
      </c>
      <c r="G888" t="s">
        <v>193</v>
      </c>
      <c r="H888" t="s">
        <v>193</v>
      </c>
      <c r="I888">
        <v>6.00861823386905</v>
      </c>
      <c r="J888">
        <v>6.66807192025216</v>
      </c>
      <c r="K888">
        <v>7.98336509775326</v>
      </c>
      <c r="L888">
        <v>9.01129834000736</v>
      </c>
      <c r="M888">
        <v>7.32290429552279</v>
      </c>
      <c r="N888">
        <v>5.34503756984523</v>
      </c>
      <c r="O888" t="s">
        <v>193</v>
      </c>
      <c r="P888" t="s">
        <v>193</v>
      </c>
    </row>
    <row r="889" spans="1:16" ht="12.75">
      <c r="A889" s="62" t="str">
        <f t="shared" si="14"/>
        <v>Mongolia_Public spending on education, total (% of government expenditure)</v>
      </c>
      <c r="B889" t="s">
        <v>502</v>
      </c>
      <c r="C889" t="s">
        <v>229</v>
      </c>
      <c r="D889" t="s">
        <v>422</v>
      </c>
      <c r="E889" t="s">
        <v>423</v>
      </c>
      <c r="F889" t="s">
        <v>193</v>
      </c>
      <c r="G889" t="s">
        <v>193</v>
      </c>
      <c r="H889" t="s">
        <v>193</v>
      </c>
      <c r="I889" t="s">
        <v>193</v>
      </c>
      <c r="J889" t="s">
        <v>193</v>
      </c>
      <c r="K889" t="s">
        <v>193</v>
      </c>
      <c r="L889" t="s">
        <v>193</v>
      </c>
      <c r="M889" t="s">
        <v>193</v>
      </c>
      <c r="N889" t="s">
        <v>193</v>
      </c>
      <c r="O889" t="s">
        <v>193</v>
      </c>
      <c r="P889" t="s">
        <v>193</v>
      </c>
    </row>
    <row r="890" spans="1:16" ht="12.75">
      <c r="A890" s="62" t="str">
        <f t="shared" si="14"/>
        <v>Mongolia_Health expenditure, public (% of total health expenditure)</v>
      </c>
      <c r="B890" t="s">
        <v>502</v>
      </c>
      <c r="C890" t="s">
        <v>229</v>
      </c>
      <c r="D890" t="s">
        <v>424</v>
      </c>
      <c r="E890" t="s">
        <v>425</v>
      </c>
      <c r="F890" t="s">
        <v>193</v>
      </c>
      <c r="G890" t="s">
        <v>193</v>
      </c>
      <c r="H890" t="s">
        <v>193</v>
      </c>
      <c r="I890" t="s">
        <v>193</v>
      </c>
      <c r="J890">
        <v>74.7</v>
      </c>
      <c r="K890">
        <v>71</v>
      </c>
      <c r="L890">
        <v>66.7</v>
      </c>
      <c r="M890">
        <v>64.8</v>
      </c>
      <c r="N890">
        <v>66.6</v>
      </c>
      <c r="O890" t="s">
        <v>193</v>
      </c>
      <c r="P890" t="s">
        <v>193</v>
      </c>
    </row>
    <row r="891" spans="1:16" ht="12.75">
      <c r="A891" s="62" t="str">
        <f t="shared" si="14"/>
        <v>Mongolia_Health expenditure, public (% of GDP)</v>
      </c>
      <c r="B891" t="s">
        <v>502</v>
      </c>
      <c r="C891" t="s">
        <v>229</v>
      </c>
      <c r="D891" t="s">
        <v>426</v>
      </c>
      <c r="E891" t="s">
        <v>427</v>
      </c>
      <c r="F891" t="s">
        <v>193</v>
      </c>
      <c r="G891" t="s">
        <v>193</v>
      </c>
      <c r="H891" t="s">
        <v>193</v>
      </c>
      <c r="I891" t="s">
        <v>193</v>
      </c>
      <c r="J891">
        <v>5.9013</v>
      </c>
      <c r="K891">
        <v>5.822</v>
      </c>
      <c r="L891">
        <v>5.336</v>
      </c>
      <c r="M891">
        <v>4.212</v>
      </c>
      <c r="N891">
        <v>3.996</v>
      </c>
      <c r="O891" t="s">
        <v>193</v>
      </c>
      <c r="P891" t="s">
        <v>193</v>
      </c>
    </row>
    <row r="892" spans="1:16" ht="12.75">
      <c r="A892" s="62" t="str">
        <f t="shared" si="14"/>
        <v>Mongolia_Health expenditure, total (% of GDP)</v>
      </c>
      <c r="B892" t="s">
        <v>502</v>
      </c>
      <c r="C892" t="s">
        <v>229</v>
      </c>
      <c r="D892" t="s">
        <v>428</v>
      </c>
      <c r="E892" t="s">
        <v>429</v>
      </c>
      <c r="F892" t="s">
        <v>193</v>
      </c>
      <c r="G892" t="s">
        <v>193</v>
      </c>
      <c r="H892" t="s">
        <v>193</v>
      </c>
      <c r="I892" t="s">
        <v>193</v>
      </c>
      <c r="J892">
        <v>7.9</v>
      </c>
      <c r="K892">
        <v>8.2</v>
      </c>
      <c r="L892">
        <v>8</v>
      </c>
      <c r="M892">
        <v>6.5</v>
      </c>
      <c r="N892">
        <v>6</v>
      </c>
      <c r="O892" t="s">
        <v>193</v>
      </c>
      <c r="P892" t="s">
        <v>193</v>
      </c>
    </row>
    <row r="893" spans="1:16" ht="12.75">
      <c r="A893" s="62" t="str">
        <f t="shared" si="14"/>
        <v>Mongolia_GDP (current LCU)</v>
      </c>
      <c r="B893" t="s">
        <v>502</v>
      </c>
      <c r="C893" t="s">
        <v>229</v>
      </c>
      <c r="D893" t="s">
        <v>430</v>
      </c>
      <c r="E893" t="s">
        <v>431</v>
      </c>
      <c r="F893">
        <v>646559236096</v>
      </c>
      <c r="G893">
        <v>832635600896</v>
      </c>
      <c r="H893">
        <v>817393369088</v>
      </c>
      <c r="I893">
        <v>925345775616</v>
      </c>
      <c r="J893">
        <v>1013467185152</v>
      </c>
      <c r="K893">
        <v>1112123244544</v>
      </c>
      <c r="L893">
        <v>1236865646592</v>
      </c>
      <c r="M893">
        <v>1479677837312</v>
      </c>
      <c r="N893">
        <v>1945649545216</v>
      </c>
      <c r="O893">
        <v>2526326030336</v>
      </c>
      <c r="P893">
        <v>3172445716480</v>
      </c>
    </row>
    <row r="894" spans="1:16" ht="12.75">
      <c r="A894" s="62" t="str">
        <f t="shared" si="14"/>
        <v>Mongolia_GDP (current US$)</v>
      </c>
      <c r="B894" t="s">
        <v>502</v>
      </c>
      <c r="C894" t="s">
        <v>229</v>
      </c>
      <c r="D894" t="s">
        <v>432</v>
      </c>
      <c r="E894" t="s">
        <v>433</v>
      </c>
      <c r="F894">
        <v>1178985600</v>
      </c>
      <c r="G894">
        <v>1053982464</v>
      </c>
      <c r="H894">
        <v>972128768</v>
      </c>
      <c r="I894">
        <v>905543360</v>
      </c>
      <c r="J894">
        <v>941297856</v>
      </c>
      <c r="K894">
        <v>1013141760</v>
      </c>
      <c r="L894">
        <v>1113982208</v>
      </c>
      <c r="M894">
        <v>1290559232</v>
      </c>
      <c r="N894">
        <v>1641510400</v>
      </c>
      <c r="O894">
        <v>2096014336</v>
      </c>
      <c r="P894">
        <v>2689424896</v>
      </c>
    </row>
    <row r="895" spans="1:16" ht="12.75">
      <c r="A895" s="62" t="str">
        <f t="shared" si="14"/>
        <v>Mongolia_GDP per capita, PPP (current international $)</v>
      </c>
      <c r="B895" t="s">
        <v>502</v>
      </c>
      <c r="C895" t="s">
        <v>229</v>
      </c>
      <c r="D895" t="s">
        <v>434</v>
      </c>
      <c r="E895" t="s">
        <v>435</v>
      </c>
      <c r="F895">
        <v>1331.24787207813</v>
      </c>
      <c r="G895">
        <v>1391.26040225371</v>
      </c>
      <c r="H895">
        <v>1441.15198149507</v>
      </c>
      <c r="I895">
        <v>1494.89314732801</v>
      </c>
      <c r="J895">
        <v>1522.80648006525</v>
      </c>
      <c r="K895">
        <v>1563.81379351584</v>
      </c>
      <c r="L895">
        <v>1639.35178300854</v>
      </c>
      <c r="M895">
        <v>1752.83897570132</v>
      </c>
      <c r="N895">
        <v>1964.82868421361</v>
      </c>
      <c r="O895">
        <v>2134.61151922176</v>
      </c>
      <c r="P895">
        <v>2353.19216955509</v>
      </c>
    </row>
    <row r="896" spans="1:16" ht="12.75">
      <c r="A896" s="62" t="str">
        <f t="shared" si="14"/>
        <v>Mongolia_GDP per capita, PPP (constant 2000 international $)</v>
      </c>
      <c r="B896" t="s">
        <v>502</v>
      </c>
      <c r="C896" t="s">
        <v>229</v>
      </c>
      <c r="D896" t="s">
        <v>436</v>
      </c>
      <c r="E896" t="s">
        <v>437</v>
      </c>
      <c r="F896">
        <v>1418.55938711547</v>
      </c>
      <c r="G896">
        <v>1458.15163205427</v>
      </c>
      <c r="H896">
        <v>1493.84478894707</v>
      </c>
      <c r="I896">
        <v>1527.47965527995</v>
      </c>
      <c r="J896">
        <v>1522.80648006525</v>
      </c>
      <c r="K896">
        <v>1527.03056050994</v>
      </c>
      <c r="L896">
        <v>1573.25891408462</v>
      </c>
      <c r="M896">
        <v>1648.61748075942</v>
      </c>
      <c r="N896">
        <v>1800.75098424815</v>
      </c>
      <c r="O896">
        <v>1899.07114054293</v>
      </c>
      <c r="P896">
        <v>2033.97520599832</v>
      </c>
    </row>
    <row r="897" spans="1:16" ht="12.75">
      <c r="A897" s="62" t="str">
        <f t="shared" si="14"/>
        <v>Mongolia_GINI index</v>
      </c>
      <c r="B897" t="s">
        <v>502</v>
      </c>
      <c r="C897" t="s">
        <v>229</v>
      </c>
      <c r="D897" t="s">
        <v>438</v>
      </c>
      <c r="E897" t="s">
        <v>439</v>
      </c>
      <c r="F897" t="s">
        <v>193</v>
      </c>
      <c r="G897" t="s">
        <v>193</v>
      </c>
      <c r="H897">
        <v>30.27</v>
      </c>
      <c r="I897" t="s">
        <v>193</v>
      </c>
      <c r="J897" t="s">
        <v>193</v>
      </c>
      <c r="K897" t="s">
        <v>193</v>
      </c>
      <c r="L897">
        <v>32.8</v>
      </c>
      <c r="M897" t="s">
        <v>193</v>
      </c>
      <c r="N897" t="s">
        <v>193</v>
      </c>
      <c r="O897" t="s">
        <v>193</v>
      </c>
      <c r="P897" t="s">
        <v>193</v>
      </c>
    </row>
    <row r="898" spans="1:16" ht="12.75">
      <c r="A898" s="62" t="str">
        <f t="shared" si="14"/>
        <v>Montenegro_Poverty headcount ratio at national poverty line (% of population)</v>
      </c>
      <c r="B898" t="s">
        <v>503</v>
      </c>
      <c r="C898" t="s">
        <v>275</v>
      </c>
      <c r="D898" t="s">
        <v>408</v>
      </c>
      <c r="E898" t="s">
        <v>409</v>
      </c>
      <c r="F898" t="s">
        <v>193</v>
      </c>
      <c r="G898" t="s">
        <v>193</v>
      </c>
      <c r="H898" t="s">
        <v>193</v>
      </c>
      <c r="I898" t="s">
        <v>193</v>
      </c>
      <c r="J898" t="s">
        <v>193</v>
      </c>
      <c r="K898" t="s">
        <v>193</v>
      </c>
      <c r="L898" t="s">
        <v>193</v>
      </c>
      <c r="M898" t="s">
        <v>193</v>
      </c>
      <c r="N898" t="s">
        <v>193</v>
      </c>
      <c r="O898" t="s">
        <v>193</v>
      </c>
      <c r="P898" t="s">
        <v>193</v>
      </c>
    </row>
    <row r="899" spans="1:16" ht="12.75">
      <c r="A899" s="62" t="str">
        <f t="shared" si="14"/>
        <v>Montenegro_Poverty headcount ratio at $2 a day (PPP) (% of population)</v>
      </c>
      <c r="B899" t="s">
        <v>503</v>
      </c>
      <c r="C899" t="s">
        <v>275</v>
      </c>
      <c r="D899" t="s">
        <v>410</v>
      </c>
      <c r="E899" t="s">
        <v>411</v>
      </c>
      <c r="F899" t="s">
        <v>193</v>
      </c>
      <c r="G899" t="s">
        <v>193</v>
      </c>
      <c r="H899" t="s">
        <v>193</v>
      </c>
      <c r="I899" t="s">
        <v>193</v>
      </c>
      <c r="J899" t="s">
        <v>193</v>
      </c>
      <c r="K899" t="s">
        <v>193</v>
      </c>
      <c r="L899" t="s">
        <v>193</v>
      </c>
      <c r="M899" t="s">
        <v>193</v>
      </c>
      <c r="N899" t="s">
        <v>193</v>
      </c>
      <c r="O899" t="s">
        <v>193</v>
      </c>
      <c r="P899" t="s">
        <v>193</v>
      </c>
    </row>
    <row r="900" spans="1:16" ht="12.75">
      <c r="A900" s="62" t="str">
        <f t="shared" si="14"/>
        <v>Montenegro_Poverty headcount ratio at $1 a day (PPP) (% of population)</v>
      </c>
      <c r="B900" t="s">
        <v>503</v>
      </c>
      <c r="C900" t="s">
        <v>275</v>
      </c>
      <c r="D900" t="s">
        <v>412</v>
      </c>
      <c r="E900" t="s">
        <v>413</v>
      </c>
      <c r="F900" t="s">
        <v>193</v>
      </c>
      <c r="G900" t="s">
        <v>193</v>
      </c>
      <c r="H900" t="s">
        <v>193</v>
      </c>
      <c r="I900" t="s">
        <v>193</v>
      </c>
      <c r="J900" t="s">
        <v>193</v>
      </c>
      <c r="K900" t="s">
        <v>193</v>
      </c>
      <c r="L900" t="s">
        <v>193</v>
      </c>
      <c r="M900" t="s">
        <v>193</v>
      </c>
      <c r="N900" t="s">
        <v>193</v>
      </c>
      <c r="O900" t="s">
        <v>193</v>
      </c>
      <c r="P900" t="s">
        <v>193</v>
      </c>
    </row>
    <row r="901" spans="1:16" ht="12.75">
      <c r="A901" s="62" t="str">
        <f t="shared" si="14"/>
        <v>Montenegro_Poverty gap at $1 a day (PPP) (%)</v>
      </c>
      <c r="B901" t="s">
        <v>503</v>
      </c>
      <c r="C901" t="s">
        <v>275</v>
      </c>
      <c r="D901" t="s">
        <v>414</v>
      </c>
      <c r="E901" t="s">
        <v>415</v>
      </c>
      <c r="F901" t="s">
        <v>193</v>
      </c>
      <c r="G901" t="s">
        <v>193</v>
      </c>
      <c r="H901" t="s">
        <v>193</v>
      </c>
      <c r="I901" t="s">
        <v>193</v>
      </c>
      <c r="J901" t="s">
        <v>193</v>
      </c>
      <c r="K901" t="s">
        <v>193</v>
      </c>
      <c r="L901" t="s">
        <v>193</v>
      </c>
      <c r="M901" t="s">
        <v>193</v>
      </c>
      <c r="N901" t="s">
        <v>193</v>
      </c>
      <c r="O901" t="s">
        <v>193</v>
      </c>
      <c r="P901" t="s">
        <v>193</v>
      </c>
    </row>
    <row r="902" spans="1:16" ht="12.75">
      <c r="A902" s="62" t="str">
        <f t="shared" si="14"/>
        <v>Montenegro_Poverty gap at $2 a day (PPP) (%)</v>
      </c>
      <c r="B902" t="s">
        <v>503</v>
      </c>
      <c r="C902" t="s">
        <v>275</v>
      </c>
      <c r="D902" t="s">
        <v>416</v>
      </c>
      <c r="E902" t="s">
        <v>417</v>
      </c>
      <c r="F902" t="s">
        <v>193</v>
      </c>
      <c r="G902" t="s">
        <v>193</v>
      </c>
      <c r="H902" t="s">
        <v>193</v>
      </c>
      <c r="I902" t="s">
        <v>193</v>
      </c>
      <c r="J902" t="s">
        <v>193</v>
      </c>
      <c r="K902" t="s">
        <v>193</v>
      </c>
      <c r="L902" t="s">
        <v>193</v>
      </c>
      <c r="M902" t="s">
        <v>193</v>
      </c>
      <c r="N902" t="s">
        <v>193</v>
      </c>
      <c r="O902" t="s">
        <v>193</v>
      </c>
      <c r="P902" t="s">
        <v>193</v>
      </c>
    </row>
    <row r="903" spans="1:16" ht="12.75">
      <c r="A903" s="62" t="str">
        <f t="shared" si="14"/>
        <v>Montenegro_Population, total</v>
      </c>
      <c r="B903" t="s">
        <v>503</v>
      </c>
      <c r="C903" t="s">
        <v>275</v>
      </c>
      <c r="D903" t="s">
        <v>418</v>
      </c>
      <c r="E903" t="s">
        <v>419</v>
      </c>
      <c r="F903">
        <v>635085</v>
      </c>
      <c r="G903">
        <v>648411</v>
      </c>
      <c r="H903">
        <v>660702</v>
      </c>
      <c r="I903">
        <v>668670</v>
      </c>
      <c r="J903">
        <v>670140</v>
      </c>
      <c r="K903">
        <v>663975</v>
      </c>
      <c r="L903">
        <v>651332</v>
      </c>
      <c r="M903">
        <v>635156</v>
      </c>
      <c r="N903">
        <v>619678</v>
      </c>
      <c r="O903">
        <v>607969</v>
      </c>
      <c r="P903">
        <v>606000</v>
      </c>
    </row>
    <row r="904" spans="1:16" ht="12.75">
      <c r="A904" s="62" t="str">
        <f t="shared" si="14"/>
        <v>Montenegro_Public spending on education, total (% of GDP)</v>
      </c>
      <c r="B904" t="s">
        <v>503</v>
      </c>
      <c r="C904" t="s">
        <v>275</v>
      </c>
      <c r="D904" t="s">
        <v>420</v>
      </c>
      <c r="E904" t="s">
        <v>421</v>
      </c>
      <c r="F904" t="s">
        <v>193</v>
      </c>
      <c r="G904" t="s">
        <v>193</v>
      </c>
      <c r="H904" t="s">
        <v>193</v>
      </c>
      <c r="I904" t="s">
        <v>193</v>
      </c>
      <c r="J904" t="s">
        <v>193</v>
      </c>
      <c r="K904" t="s">
        <v>193</v>
      </c>
      <c r="L904" t="s">
        <v>193</v>
      </c>
      <c r="M904" t="s">
        <v>193</v>
      </c>
      <c r="N904" t="s">
        <v>193</v>
      </c>
      <c r="O904" t="s">
        <v>193</v>
      </c>
      <c r="P904" t="s">
        <v>193</v>
      </c>
    </row>
    <row r="905" spans="1:16" ht="12.75">
      <c r="A905" s="62" t="str">
        <f t="shared" si="14"/>
        <v>Montenegro_Public spending on education, total (% of government expenditure)</v>
      </c>
      <c r="B905" t="s">
        <v>503</v>
      </c>
      <c r="C905" t="s">
        <v>275</v>
      </c>
      <c r="D905" t="s">
        <v>422</v>
      </c>
      <c r="E905" t="s">
        <v>423</v>
      </c>
      <c r="F905" t="s">
        <v>193</v>
      </c>
      <c r="G905" t="s">
        <v>193</v>
      </c>
      <c r="H905" t="s">
        <v>193</v>
      </c>
      <c r="I905" t="s">
        <v>193</v>
      </c>
      <c r="J905" t="s">
        <v>193</v>
      </c>
      <c r="K905" t="s">
        <v>193</v>
      </c>
      <c r="L905" t="s">
        <v>193</v>
      </c>
      <c r="M905" t="s">
        <v>193</v>
      </c>
      <c r="N905" t="s">
        <v>193</v>
      </c>
      <c r="O905" t="s">
        <v>193</v>
      </c>
      <c r="P905" t="s">
        <v>193</v>
      </c>
    </row>
    <row r="906" spans="1:16" ht="12.75">
      <c r="A906" s="62" t="str">
        <f t="shared" si="14"/>
        <v>Montenegro_Health expenditure, public (% of total health expenditure)</v>
      </c>
      <c r="B906" t="s">
        <v>503</v>
      </c>
      <c r="C906" t="s">
        <v>275</v>
      </c>
      <c r="D906" t="s">
        <v>424</v>
      </c>
      <c r="E906" t="s">
        <v>425</v>
      </c>
      <c r="F906" t="s">
        <v>193</v>
      </c>
      <c r="G906" t="s">
        <v>193</v>
      </c>
      <c r="H906" t="s">
        <v>193</v>
      </c>
      <c r="I906" t="s">
        <v>193</v>
      </c>
      <c r="J906" t="s">
        <v>193</v>
      </c>
      <c r="K906" t="s">
        <v>193</v>
      </c>
      <c r="L906" t="s">
        <v>193</v>
      </c>
      <c r="M906" t="s">
        <v>193</v>
      </c>
      <c r="N906" t="s">
        <v>193</v>
      </c>
      <c r="O906" t="s">
        <v>193</v>
      </c>
      <c r="P906" t="s">
        <v>193</v>
      </c>
    </row>
    <row r="907" spans="1:16" ht="12.75">
      <c r="A907" s="62" t="str">
        <f t="shared" si="14"/>
        <v>Montenegro_Health expenditure, public (% of GDP)</v>
      </c>
      <c r="B907" t="s">
        <v>503</v>
      </c>
      <c r="C907" t="s">
        <v>275</v>
      </c>
      <c r="D907" t="s">
        <v>426</v>
      </c>
      <c r="E907" t="s">
        <v>427</v>
      </c>
      <c r="F907" t="s">
        <v>193</v>
      </c>
      <c r="G907" t="s">
        <v>193</v>
      </c>
      <c r="H907" t="s">
        <v>193</v>
      </c>
      <c r="I907" t="s">
        <v>193</v>
      </c>
      <c r="J907" t="s">
        <v>193</v>
      </c>
      <c r="K907" t="s">
        <v>193</v>
      </c>
      <c r="L907" t="s">
        <v>193</v>
      </c>
      <c r="M907" t="s">
        <v>193</v>
      </c>
      <c r="N907" t="s">
        <v>193</v>
      </c>
      <c r="O907" t="s">
        <v>193</v>
      </c>
      <c r="P907" t="s">
        <v>193</v>
      </c>
    </row>
    <row r="908" spans="1:16" ht="12.75">
      <c r="A908" s="62" t="str">
        <f t="shared" si="14"/>
        <v>Montenegro_Health expenditure, total (% of GDP)</v>
      </c>
      <c r="B908" t="s">
        <v>503</v>
      </c>
      <c r="C908" t="s">
        <v>275</v>
      </c>
      <c r="D908" t="s">
        <v>428</v>
      </c>
      <c r="E908" t="s">
        <v>429</v>
      </c>
      <c r="F908" t="s">
        <v>193</v>
      </c>
      <c r="G908" t="s">
        <v>193</v>
      </c>
      <c r="H908" t="s">
        <v>193</v>
      </c>
      <c r="I908" t="s">
        <v>193</v>
      </c>
      <c r="J908" t="s">
        <v>193</v>
      </c>
      <c r="K908" t="s">
        <v>193</v>
      </c>
      <c r="L908" t="s">
        <v>193</v>
      </c>
      <c r="M908" t="s">
        <v>193</v>
      </c>
      <c r="N908" t="s">
        <v>193</v>
      </c>
      <c r="O908" t="s">
        <v>193</v>
      </c>
      <c r="P908" t="s">
        <v>193</v>
      </c>
    </row>
    <row r="909" spans="1:16" ht="12.75">
      <c r="A909" s="62" t="str">
        <f t="shared" si="14"/>
        <v>Montenegro_GDP (current LCU)</v>
      </c>
      <c r="B909" t="s">
        <v>503</v>
      </c>
      <c r="C909" t="s">
        <v>275</v>
      </c>
      <c r="D909" t="s">
        <v>430</v>
      </c>
      <c r="E909" t="s">
        <v>431</v>
      </c>
      <c r="F909" t="s">
        <v>193</v>
      </c>
      <c r="G909" t="s">
        <v>193</v>
      </c>
      <c r="H909" t="s">
        <v>193</v>
      </c>
      <c r="I909" t="s">
        <v>193</v>
      </c>
      <c r="J909">
        <v>1022200000</v>
      </c>
      <c r="K909">
        <v>1244800000</v>
      </c>
      <c r="L909">
        <v>1301505024</v>
      </c>
      <c r="M909">
        <v>1392000000</v>
      </c>
      <c r="N909">
        <v>1564999936</v>
      </c>
      <c r="O909">
        <v>1688999936</v>
      </c>
      <c r="P909">
        <v>1871000064</v>
      </c>
    </row>
    <row r="910" spans="1:16" ht="12.75">
      <c r="A910" s="62" t="str">
        <f t="shared" si="14"/>
        <v>Montenegro_GDP (current US$)</v>
      </c>
      <c r="B910" t="s">
        <v>503</v>
      </c>
      <c r="C910" t="s">
        <v>275</v>
      </c>
      <c r="D910" t="s">
        <v>432</v>
      </c>
      <c r="E910" t="s">
        <v>433</v>
      </c>
      <c r="F910" t="s">
        <v>193</v>
      </c>
      <c r="G910" t="s">
        <v>193</v>
      </c>
      <c r="H910" t="s">
        <v>193</v>
      </c>
      <c r="I910" t="s">
        <v>193</v>
      </c>
      <c r="J910">
        <v>944103936</v>
      </c>
      <c r="K910">
        <v>1114842880</v>
      </c>
      <c r="L910">
        <v>1229166208</v>
      </c>
      <c r="M910">
        <v>1574111872</v>
      </c>
      <c r="N910">
        <v>1942773504</v>
      </c>
      <c r="O910">
        <v>2100316416</v>
      </c>
      <c r="P910">
        <v>2346679296</v>
      </c>
    </row>
    <row r="911" spans="1:16" ht="12.75">
      <c r="A911" s="62" t="str">
        <f t="shared" si="14"/>
        <v>Montenegro_GDP per capita, PPP (current international $)</v>
      </c>
      <c r="B911" t="s">
        <v>503</v>
      </c>
      <c r="C911" t="s">
        <v>275</v>
      </c>
      <c r="D911" t="s">
        <v>434</v>
      </c>
      <c r="E911" t="s">
        <v>435</v>
      </c>
      <c r="F911" t="s">
        <v>193</v>
      </c>
      <c r="G911" t="s">
        <v>193</v>
      </c>
      <c r="H911" t="s">
        <v>193</v>
      </c>
      <c r="I911" t="s">
        <v>193</v>
      </c>
      <c r="J911" t="s">
        <v>193</v>
      </c>
      <c r="K911" t="s">
        <v>193</v>
      </c>
      <c r="L911" t="s">
        <v>193</v>
      </c>
      <c r="M911" t="s">
        <v>193</v>
      </c>
      <c r="N911" t="s">
        <v>193</v>
      </c>
      <c r="O911" t="s">
        <v>193</v>
      </c>
      <c r="P911" t="s">
        <v>193</v>
      </c>
    </row>
    <row r="912" spans="1:16" ht="12.75">
      <c r="A912" s="62" t="str">
        <f t="shared" si="14"/>
        <v>Montenegro_GDP per capita, PPP (constant 2000 international $)</v>
      </c>
      <c r="B912" t="s">
        <v>503</v>
      </c>
      <c r="C912" t="s">
        <v>275</v>
      </c>
      <c r="D912" t="s">
        <v>436</v>
      </c>
      <c r="E912" t="s">
        <v>437</v>
      </c>
      <c r="F912" t="s">
        <v>193</v>
      </c>
      <c r="G912" t="s">
        <v>193</v>
      </c>
      <c r="H912" t="s">
        <v>193</v>
      </c>
      <c r="I912" t="s">
        <v>193</v>
      </c>
      <c r="J912" t="s">
        <v>193</v>
      </c>
      <c r="K912" t="s">
        <v>193</v>
      </c>
      <c r="L912" t="s">
        <v>193</v>
      </c>
      <c r="M912" t="s">
        <v>193</v>
      </c>
      <c r="N912" t="s">
        <v>193</v>
      </c>
      <c r="O912" t="s">
        <v>193</v>
      </c>
      <c r="P912" t="s">
        <v>193</v>
      </c>
    </row>
    <row r="913" spans="1:16" ht="12.75">
      <c r="A913" s="62" t="str">
        <f t="shared" si="14"/>
        <v>Montenegro_GINI index</v>
      </c>
      <c r="B913" t="s">
        <v>503</v>
      </c>
      <c r="C913" t="s">
        <v>275</v>
      </c>
      <c r="D913" t="s">
        <v>438</v>
      </c>
      <c r="E913" t="s">
        <v>439</v>
      </c>
      <c r="F913" t="s">
        <v>193</v>
      </c>
      <c r="G913" t="s">
        <v>193</v>
      </c>
      <c r="H913" t="s">
        <v>193</v>
      </c>
      <c r="I913" t="s">
        <v>193</v>
      </c>
      <c r="J913" t="s">
        <v>193</v>
      </c>
      <c r="K913" t="s">
        <v>193</v>
      </c>
      <c r="L913" t="s">
        <v>193</v>
      </c>
      <c r="M913" t="s">
        <v>193</v>
      </c>
      <c r="N913" t="s">
        <v>193</v>
      </c>
      <c r="O913" t="s">
        <v>193</v>
      </c>
      <c r="P913" t="s">
        <v>193</v>
      </c>
    </row>
    <row r="914" spans="1:16" ht="12.75">
      <c r="A914" s="62" t="str">
        <f t="shared" si="14"/>
        <v>Morocco_Poverty headcount ratio at national poverty line (% of population)</v>
      </c>
      <c r="B914" t="s">
        <v>504</v>
      </c>
      <c r="C914" t="s">
        <v>201</v>
      </c>
      <c r="D914" t="s">
        <v>408</v>
      </c>
      <c r="E914" t="s">
        <v>409</v>
      </c>
      <c r="F914" t="s">
        <v>193</v>
      </c>
      <c r="G914" t="s">
        <v>193</v>
      </c>
      <c r="H914" t="s">
        <v>193</v>
      </c>
      <c r="I914">
        <v>19</v>
      </c>
      <c r="J914" t="s">
        <v>193</v>
      </c>
      <c r="K914" t="s">
        <v>193</v>
      </c>
      <c r="L914" t="s">
        <v>193</v>
      </c>
      <c r="M914" t="s">
        <v>193</v>
      </c>
      <c r="N914" t="s">
        <v>193</v>
      </c>
      <c r="O914" t="s">
        <v>193</v>
      </c>
      <c r="P914" t="s">
        <v>193</v>
      </c>
    </row>
    <row r="915" spans="1:16" ht="12.75">
      <c r="A915" s="62" t="str">
        <f t="shared" si="14"/>
        <v>Morocco_Poverty headcount ratio at $2 a day (PPP) (% of population)</v>
      </c>
      <c r="B915" t="s">
        <v>504</v>
      </c>
      <c r="C915" t="s">
        <v>201</v>
      </c>
      <c r="D915" t="s">
        <v>410</v>
      </c>
      <c r="E915" t="s">
        <v>411</v>
      </c>
      <c r="F915" t="s">
        <v>193</v>
      </c>
      <c r="G915" t="s">
        <v>193</v>
      </c>
      <c r="H915" t="s">
        <v>193</v>
      </c>
      <c r="I915">
        <v>14.33</v>
      </c>
      <c r="J915" t="s">
        <v>193</v>
      </c>
      <c r="K915" t="s">
        <v>193</v>
      </c>
      <c r="L915" t="s">
        <v>193</v>
      </c>
      <c r="M915" t="s">
        <v>193</v>
      </c>
      <c r="N915" t="s">
        <v>193</v>
      </c>
      <c r="O915" t="s">
        <v>193</v>
      </c>
      <c r="P915" t="s">
        <v>193</v>
      </c>
    </row>
    <row r="916" spans="1:16" ht="12.75">
      <c r="A916" s="62" t="str">
        <f t="shared" si="14"/>
        <v>Morocco_Poverty headcount ratio at $1 a day (PPP) (% of population)</v>
      </c>
      <c r="B916" t="s">
        <v>504</v>
      </c>
      <c r="C916" t="s">
        <v>201</v>
      </c>
      <c r="D916" t="s">
        <v>412</v>
      </c>
      <c r="E916" t="s">
        <v>413</v>
      </c>
      <c r="F916" t="s">
        <v>193</v>
      </c>
      <c r="G916" t="s">
        <v>193</v>
      </c>
      <c r="H916" t="s">
        <v>193</v>
      </c>
      <c r="I916">
        <v>2</v>
      </c>
      <c r="J916" t="s">
        <v>193</v>
      </c>
      <c r="K916" t="s">
        <v>193</v>
      </c>
      <c r="L916" t="s">
        <v>193</v>
      </c>
      <c r="M916" t="s">
        <v>193</v>
      </c>
      <c r="N916" t="s">
        <v>193</v>
      </c>
      <c r="O916" t="s">
        <v>193</v>
      </c>
      <c r="P916" t="s">
        <v>193</v>
      </c>
    </row>
    <row r="917" spans="1:16" ht="12.75">
      <c r="A917" s="62" t="str">
        <f t="shared" si="14"/>
        <v>Morocco_Poverty gap at $1 a day (PPP) (%)</v>
      </c>
      <c r="B917" t="s">
        <v>504</v>
      </c>
      <c r="C917" t="s">
        <v>201</v>
      </c>
      <c r="D917" t="s">
        <v>414</v>
      </c>
      <c r="E917" t="s">
        <v>415</v>
      </c>
      <c r="F917" t="s">
        <v>193</v>
      </c>
      <c r="G917" t="s">
        <v>193</v>
      </c>
      <c r="H917" t="s">
        <v>193</v>
      </c>
      <c r="I917">
        <v>0.5</v>
      </c>
      <c r="J917" t="s">
        <v>193</v>
      </c>
      <c r="K917" t="s">
        <v>193</v>
      </c>
      <c r="L917" t="s">
        <v>193</v>
      </c>
      <c r="M917" t="s">
        <v>193</v>
      </c>
      <c r="N917" t="s">
        <v>193</v>
      </c>
      <c r="O917" t="s">
        <v>193</v>
      </c>
      <c r="P917" t="s">
        <v>193</v>
      </c>
    </row>
    <row r="918" spans="1:16" ht="12.75">
      <c r="A918" s="62" t="str">
        <f t="shared" si="14"/>
        <v>Morocco_Poverty gap at $2 a day (PPP) (%)</v>
      </c>
      <c r="B918" t="s">
        <v>504</v>
      </c>
      <c r="C918" t="s">
        <v>201</v>
      </c>
      <c r="D918" t="s">
        <v>416</v>
      </c>
      <c r="E918" t="s">
        <v>417</v>
      </c>
      <c r="F918" t="s">
        <v>193</v>
      </c>
      <c r="G918" t="s">
        <v>193</v>
      </c>
      <c r="H918" t="s">
        <v>193</v>
      </c>
      <c r="I918">
        <v>3.103</v>
      </c>
      <c r="J918" t="s">
        <v>193</v>
      </c>
      <c r="K918" t="s">
        <v>193</v>
      </c>
      <c r="L918" t="s">
        <v>193</v>
      </c>
      <c r="M918" t="s">
        <v>193</v>
      </c>
      <c r="N918" t="s">
        <v>193</v>
      </c>
      <c r="O918" t="s">
        <v>193</v>
      </c>
      <c r="P918" t="s">
        <v>193</v>
      </c>
    </row>
    <row r="919" spans="1:16" ht="12.75">
      <c r="A919" s="62" t="str">
        <f t="shared" si="14"/>
        <v>Morocco_Population, total</v>
      </c>
      <c r="B919" t="s">
        <v>504</v>
      </c>
      <c r="C919" t="s">
        <v>201</v>
      </c>
      <c r="D919" t="s">
        <v>418</v>
      </c>
      <c r="E919" t="s">
        <v>419</v>
      </c>
      <c r="F919">
        <v>26863601</v>
      </c>
      <c r="G919">
        <v>27282140</v>
      </c>
      <c r="H919">
        <v>27689325</v>
      </c>
      <c r="I919">
        <v>28084180</v>
      </c>
      <c r="J919">
        <v>28465720</v>
      </c>
      <c r="K919">
        <v>28832949</v>
      </c>
      <c r="L919">
        <v>29184862</v>
      </c>
      <c r="M919">
        <v>29520444</v>
      </c>
      <c r="N919">
        <v>29838668</v>
      </c>
      <c r="O919">
        <v>30142708.7983098</v>
      </c>
      <c r="P919">
        <v>30496553.3656232</v>
      </c>
    </row>
    <row r="920" spans="1:16" ht="12.75">
      <c r="A920" s="62" t="str">
        <f t="shared" si="14"/>
        <v>Morocco_Public spending on education, total (% of GDP)</v>
      </c>
      <c r="B920" t="s">
        <v>504</v>
      </c>
      <c r="C920" t="s">
        <v>201</v>
      </c>
      <c r="D920" t="s">
        <v>420</v>
      </c>
      <c r="E920" t="s">
        <v>421</v>
      </c>
      <c r="F920" t="s">
        <v>193</v>
      </c>
      <c r="G920" t="s">
        <v>193</v>
      </c>
      <c r="H920" t="s">
        <v>193</v>
      </c>
      <c r="I920">
        <v>6.07098437074363</v>
      </c>
      <c r="J920">
        <v>6.39758970245911</v>
      </c>
      <c r="K920">
        <v>6.22705428550445</v>
      </c>
      <c r="L920">
        <v>6.49209867182403</v>
      </c>
      <c r="M920">
        <v>6.41917575688932</v>
      </c>
      <c r="N920">
        <v>6.31785336089385</v>
      </c>
      <c r="O920">
        <v>6.74695147988919</v>
      </c>
      <c r="P920" t="s">
        <v>193</v>
      </c>
    </row>
    <row r="921" spans="1:16" ht="12.75">
      <c r="A921" s="62" t="str">
        <f t="shared" si="14"/>
        <v>Morocco_Public spending on education, total (% of government expenditure)</v>
      </c>
      <c r="B921" t="s">
        <v>504</v>
      </c>
      <c r="C921" t="s">
        <v>201</v>
      </c>
      <c r="D921" t="s">
        <v>422</v>
      </c>
      <c r="E921" t="s">
        <v>423</v>
      </c>
      <c r="F921" t="s">
        <v>193</v>
      </c>
      <c r="G921" t="s">
        <v>193</v>
      </c>
      <c r="H921" t="s">
        <v>193</v>
      </c>
      <c r="I921">
        <v>25.6597279677812</v>
      </c>
      <c r="J921">
        <v>23.4646216959071</v>
      </c>
      <c r="K921">
        <v>25.0201084832478</v>
      </c>
      <c r="L921">
        <v>26.4063088276346</v>
      </c>
      <c r="M921" t="s">
        <v>193</v>
      </c>
      <c r="N921">
        <v>27.7965320812629</v>
      </c>
      <c r="O921">
        <v>27.2286807724453</v>
      </c>
      <c r="P921" t="s">
        <v>193</v>
      </c>
    </row>
    <row r="922" spans="1:16" ht="12.75">
      <c r="A922" s="62" t="str">
        <f t="shared" si="14"/>
        <v>Morocco_Health expenditure, public (% of total health expenditure)</v>
      </c>
      <c r="B922" t="s">
        <v>504</v>
      </c>
      <c r="C922" t="s">
        <v>201</v>
      </c>
      <c r="D922" t="s">
        <v>424</v>
      </c>
      <c r="E922" t="s">
        <v>425</v>
      </c>
      <c r="F922" t="s">
        <v>193</v>
      </c>
      <c r="G922" t="s">
        <v>193</v>
      </c>
      <c r="H922" t="s">
        <v>193</v>
      </c>
      <c r="I922" t="s">
        <v>193</v>
      </c>
      <c r="J922">
        <v>31.2</v>
      </c>
      <c r="K922">
        <v>32.4</v>
      </c>
      <c r="L922">
        <v>32.8</v>
      </c>
      <c r="M922">
        <v>33.5</v>
      </c>
      <c r="N922">
        <v>34.3</v>
      </c>
      <c r="O922" t="s">
        <v>193</v>
      </c>
      <c r="P922" t="s">
        <v>193</v>
      </c>
    </row>
    <row r="923" spans="1:16" ht="12.75">
      <c r="A923" s="62" t="str">
        <f t="shared" si="14"/>
        <v>Morocco_Health expenditure, public (% of GDP)</v>
      </c>
      <c r="B923" t="s">
        <v>504</v>
      </c>
      <c r="C923" t="s">
        <v>201</v>
      </c>
      <c r="D923" t="s">
        <v>426</v>
      </c>
      <c r="E923" t="s">
        <v>427</v>
      </c>
      <c r="F923" t="s">
        <v>193</v>
      </c>
      <c r="G923" t="s">
        <v>193</v>
      </c>
      <c r="H923" t="s">
        <v>193</v>
      </c>
      <c r="I923" t="s">
        <v>193</v>
      </c>
      <c r="J923">
        <v>1.4976</v>
      </c>
      <c r="K923">
        <v>1.5876</v>
      </c>
      <c r="L923">
        <v>1.64</v>
      </c>
      <c r="M923">
        <v>1.7085</v>
      </c>
      <c r="N923">
        <v>1.7493</v>
      </c>
      <c r="O923" t="s">
        <v>193</v>
      </c>
      <c r="P923" t="s">
        <v>193</v>
      </c>
    </row>
    <row r="924" spans="1:16" ht="12.75">
      <c r="A924" s="62" t="str">
        <f t="shared" si="14"/>
        <v>Morocco_Health expenditure, total (% of GDP)</v>
      </c>
      <c r="B924" t="s">
        <v>504</v>
      </c>
      <c r="C924" t="s">
        <v>201</v>
      </c>
      <c r="D924" t="s">
        <v>428</v>
      </c>
      <c r="E924" t="s">
        <v>429</v>
      </c>
      <c r="F924" t="s">
        <v>193</v>
      </c>
      <c r="G924" t="s">
        <v>193</v>
      </c>
      <c r="H924" t="s">
        <v>193</v>
      </c>
      <c r="I924" t="s">
        <v>193</v>
      </c>
      <c r="J924">
        <v>4.8</v>
      </c>
      <c r="K924">
        <v>4.9</v>
      </c>
      <c r="L924">
        <v>5</v>
      </c>
      <c r="M924">
        <v>5.1</v>
      </c>
      <c r="N924">
        <v>5.1</v>
      </c>
      <c r="O924" t="s">
        <v>193</v>
      </c>
      <c r="P924" t="s">
        <v>193</v>
      </c>
    </row>
    <row r="925" spans="1:16" ht="12.75">
      <c r="A925" s="62" t="str">
        <f t="shared" si="14"/>
        <v>Morocco_GDP (current LCU)</v>
      </c>
      <c r="B925" t="s">
        <v>504</v>
      </c>
      <c r="C925" t="s">
        <v>201</v>
      </c>
      <c r="D925" t="s">
        <v>430</v>
      </c>
      <c r="E925" t="s">
        <v>431</v>
      </c>
      <c r="F925">
        <v>319339790336</v>
      </c>
      <c r="G925">
        <v>318342299648</v>
      </c>
      <c r="H925">
        <v>344005312512</v>
      </c>
      <c r="I925">
        <v>345593708544</v>
      </c>
      <c r="J925">
        <v>354207793152</v>
      </c>
      <c r="K925">
        <v>383184502784</v>
      </c>
      <c r="L925">
        <v>397781893120</v>
      </c>
      <c r="M925">
        <v>419485188096</v>
      </c>
      <c r="N925">
        <v>443672690688</v>
      </c>
      <c r="O925">
        <v>457619996672</v>
      </c>
      <c r="P925">
        <v>504070012928</v>
      </c>
    </row>
    <row r="926" spans="1:16" ht="12.75">
      <c r="A926" s="62" t="str">
        <f t="shared" si="14"/>
        <v>Morocco_GDP (current US$)</v>
      </c>
      <c r="B926" t="s">
        <v>504</v>
      </c>
      <c r="C926" t="s">
        <v>201</v>
      </c>
      <c r="D926" t="s">
        <v>432</v>
      </c>
      <c r="E926" t="s">
        <v>433</v>
      </c>
      <c r="F926">
        <v>36638765056</v>
      </c>
      <c r="G926">
        <v>33414748160</v>
      </c>
      <c r="H926">
        <v>35817410560</v>
      </c>
      <c r="I926">
        <v>35248771072</v>
      </c>
      <c r="J926">
        <v>33334067200</v>
      </c>
      <c r="K926">
        <v>33901131776</v>
      </c>
      <c r="L926">
        <v>36093087744</v>
      </c>
      <c r="M926">
        <v>43813302272</v>
      </c>
      <c r="N926">
        <v>50030751744</v>
      </c>
      <c r="O926">
        <v>51620982784</v>
      </c>
      <c r="P926">
        <v>57306730496</v>
      </c>
    </row>
    <row r="927" spans="1:16" ht="12.75">
      <c r="A927" s="62" t="str">
        <f t="shared" si="14"/>
        <v>Morocco_GDP per capita, PPP (current international $)</v>
      </c>
      <c r="B927" t="s">
        <v>504</v>
      </c>
      <c r="C927" t="s">
        <v>201</v>
      </c>
      <c r="D927" t="s">
        <v>434</v>
      </c>
      <c r="E927" t="s">
        <v>435</v>
      </c>
      <c r="F927">
        <v>3311.99994166736</v>
      </c>
      <c r="G927">
        <v>3241.80011677421</v>
      </c>
      <c r="H927">
        <v>3477.48275782948</v>
      </c>
      <c r="I927">
        <v>3475.35691120854</v>
      </c>
      <c r="J927">
        <v>3537.03116214843</v>
      </c>
      <c r="K927">
        <v>3801.27981297028</v>
      </c>
      <c r="L927">
        <v>3943.06656715642</v>
      </c>
      <c r="M927">
        <v>4197.2078699227</v>
      </c>
      <c r="N927">
        <v>4442.27414694263</v>
      </c>
      <c r="O927">
        <v>4607.85251816574</v>
      </c>
      <c r="P927">
        <v>5028.48190662641</v>
      </c>
    </row>
    <row r="928" spans="1:16" ht="12.75">
      <c r="A928" s="62" t="str">
        <f t="shared" si="14"/>
        <v>Morocco_GDP per capita, PPP (constant 2000 international $)</v>
      </c>
      <c r="B928" t="s">
        <v>504</v>
      </c>
      <c r="C928" t="s">
        <v>201</v>
      </c>
      <c r="D928" t="s">
        <v>436</v>
      </c>
      <c r="E928" t="s">
        <v>437</v>
      </c>
      <c r="F928">
        <v>3529.22149655265</v>
      </c>
      <c r="G928">
        <v>3397.66453743002</v>
      </c>
      <c r="H928">
        <v>3604.62988160879</v>
      </c>
      <c r="I928">
        <v>3551.11466407892</v>
      </c>
      <c r="J928">
        <v>3537.03116214843</v>
      </c>
      <c r="K928">
        <v>3711.86804178572</v>
      </c>
      <c r="L928">
        <v>3784.09606156849</v>
      </c>
      <c r="M928">
        <v>3947.64742264303</v>
      </c>
      <c r="N928">
        <v>4071.31146174644</v>
      </c>
      <c r="O928">
        <v>4099.40621903744</v>
      </c>
      <c r="P928">
        <v>4346.35456220434</v>
      </c>
    </row>
    <row r="929" spans="1:16" ht="12.75">
      <c r="A929" s="62" t="str">
        <f t="shared" si="14"/>
        <v>Morocco_GINI index</v>
      </c>
      <c r="B929" t="s">
        <v>504</v>
      </c>
      <c r="C929" t="s">
        <v>201</v>
      </c>
      <c r="D929" t="s">
        <v>438</v>
      </c>
      <c r="E929" t="s">
        <v>439</v>
      </c>
      <c r="F929" t="s">
        <v>193</v>
      </c>
      <c r="G929" t="s">
        <v>193</v>
      </c>
      <c r="H929" t="s">
        <v>193</v>
      </c>
      <c r="I929">
        <v>39.5</v>
      </c>
      <c r="J929" t="s">
        <v>193</v>
      </c>
      <c r="K929" t="s">
        <v>193</v>
      </c>
      <c r="L929" t="s">
        <v>193</v>
      </c>
      <c r="M929" t="s">
        <v>193</v>
      </c>
      <c r="N929" t="s">
        <v>193</v>
      </c>
      <c r="O929" t="s">
        <v>193</v>
      </c>
      <c r="P929" t="s">
        <v>193</v>
      </c>
    </row>
    <row r="930" spans="1:16" ht="12.75">
      <c r="A930" s="62" t="str">
        <f t="shared" si="14"/>
        <v>Nicaragua_Poverty headcount ratio at national poverty line (% of population)</v>
      </c>
      <c r="B930" t="s">
        <v>505</v>
      </c>
      <c r="C930" t="s">
        <v>252</v>
      </c>
      <c r="D930" t="s">
        <v>408</v>
      </c>
      <c r="E930" t="s">
        <v>409</v>
      </c>
      <c r="F930" t="s">
        <v>193</v>
      </c>
      <c r="G930" t="s">
        <v>193</v>
      </c>
      <c r="H930">
        <v>47.9</v>
      </c>
      <c r="I930" t="s">
        <v>193</v>
      </c>
      <c r="J930" t="s">
        <v>193</v>
      </c>
      <c r="K930" t="s">
        <v>193</v>
      </c>
      <c r="L930" t="s">
        <v>193</v>
      </c>
      <c r="M930" t="s">
        <v>193</v>
      </c>
      <c r="N930" t="s">
        <v>193</v>
      </c>
      <c r="O930" t="s">
        <v>193</v>
      </c>
      <c r="P930" t="s">
        <v>193</v>
      </c>
    </row>
    <row r="931" spans="1:16" ht="12.75">
      <c r="A931" s="62" t="str">
        <f aca="true" t="shared" si="15" ref="A931:A994">C931&amp;"_"&amp;E931</f>
        <v>Nicaragua_Poverty headcount ratio at $2 a day (PPP) (% of population)</v>
      </c>
      <c r="B931" t="s">
        <v>505</v>
      </c>
      <c r="C931" t="s">
        <v>252</v>
      </c>
      <c r="D931" t="s">
        <v>410</v>
      </c>
      <c r="E931" t="s">
        <v>411</v>
      </c>
      <c r="F931" t="s">
        <v>193</v>
      </c>
      <c r="G931" t="s">
        <v>193</v>
      </c>
      <c r="H931">
        <v>79.02</v>
      </c>
      <c r="I931" t="s">
        <v>193</v>
      </c>
      <c r="J931" t="s">
        <v>193</v>
      </c>
      <c r="K931">
        <v>79.93</v>
      </c>
      <c r="L931" t="s">
        <v>193</v>
      </c>
      <c r="M931" t="s">
        <v>193</v>
      </c>
      <c r="N931" t="s">
        <v>193</v>
      </c>
      <c r="O931" t="s">
        <v>193</v>
      </c>
      <c r="P931" t="s">
        <v>193</v>
      </c>
    </row>
    <row r="932" spans="1:16" ht="12.75">
      <c r="A932" s="62" t="str">
        <f t="shared" si="15"/>
        <v>Nicaragua_Poverty headcount ratio at $1 a day (PPP) (% of population)</v>
      </c>
      <c r="B932" t="s">
        <v>505</v>
      </c>
      <c r="C932" t="s">
        <v>252</v>
      </c>
      <c r="D932" t="s">
        <v>412</v>
      </c>
      <c r="E932" t="s">
        <v>413</v>
      </c>
      <c r="F932" t="s">
        <v>193</v>
      </c>
      <c r="G932" t="s">
        <v>193</v>
      </c>
      <c r="H932">
        <v>44.68</v>
      </c>
      <c r="I932" t="s">
        <v>193</v>
      </c>
      <c r="J932" t="s">
        <v>193</v>
      </c>
      <c r="K932">
        <v>45.12</v>
      </c>
      <c r="L932" t="s">
        <v>193</v>
      </c>
      <c r="M932" t="s">
        <v>193</v>
      </c>
      <c r="N932" t="s">
        <v>193</v>
      </c>
      <c r="O932" t="s">
        <v>193</v>
      </c>
      <c r="P932" t="s">
        <v>193</v>
      </c>
    </row>
    <row r="933" spans="1:16" ht="12.75">
      <c r="A933" s="62" t="str">
        <f t="shared" si="15"/>
        <v>Nicaragua_Poverty gap at $1 a day (PPP) (%)</v>
      </c>
      <c r="B933" t="s">
        <v>505</v>
      </c>
      <c r="C933" t="s">
        <v>252</v>
      </c>
      <c r="D933" t="s">
        <v>414</v>
      </c>
      <c r="E933" t="s">
        <v>415</v>
      </c>
      <c r="F933" t="s">
        <v>193</v>
      </c>
      <c r="G933" t="s">
        <v>193</v>
      </c>
      <c r="H933">
        <v>16.62</v>
      </c>
      <c r="I933" t="s">
        <v>193</v>
      </c>
      <c r="J933" t="s">
        <v>193</v>
      </c>
      <c r="K933">
        <v>16.743</v>
      </c>
      <c r="L933" t="s">
        <v>193</v>
      </c>
      <c r="M933" t="s">
        <v>193</v>
      </c>
      <c r="N933" t="s">
        <v>193</v>
      </c>
      <c r="O933" t="s">
        <v>193</v>
      </c>
      <c r="P933" t="s">
        <v>193</v>
      </c>
    </row>
    <row r="934" spans="1:16" ht="12.75">
      <c r="A934" s="62" t="str">
        <f t="shared" si="15"/>
        <v>Nicaragua_Poverty gap at $2 a day (PPP) (%)</v>
      </c>
      <c r="B934" t="s">
        <v>505</v>
      </c>
      <c r="C934" t="s">
        <v>252</v>
      </c>
      <c r="D934" t="s">
        <v>416</v>
      </c>
      <c r="E934" t="s">
        <v>417</v>
      </c>
      <c r="F934" t="s">
        <v>193</v>
      </c>
      <c r="G934" t="s">
        <v>193</v>
      </c>
      <c r="H934">
        <v>40.68</v>
      </c>
      <c r="I934" t="s">
        <v>193</v>
      </c>
      <c r="J934" t="s">
        <v>193</v>
      </c>
      <c r="K934">
        <v>41.166</v>
      </c>
      <c r="L934" t="s">
        <v>193</v>
      </c>
      <c r="M934" t="s">
        <v>193</v>
      </c>
      <c r="N934" t="s">
        <v>193</v>
      </c>
      <c r="O934" t="s">
        <v>193</v>
      </c>
      <c r="P934" t="s">
        <v>193</v>
      </c>
    </row>
    <row r="935" spans="1:16" ht="12.75">
      <c r="A935" s="62" t="str">
        <f t="shared" si="15"/>
        <v>Nicaragua_Population, total</v>
      </c>
      <c r="B935" t="s">
        <v>505</v>
      </c>
      <c r="C935" t="s">
        <v>252</v>
      </c>
      <c r="D935" t="s">
        <v>418</v>
      </c>
      <c r="E935" t="s">
        <v>419</v>
      </c>
      <c r="F935">
        <v>4570872.27122973</v>
      </c>
      <c r="G935">
        <v>4662423.16590184</v>
      </c>
      <c r="H935">
        <v>4751321.57503055</v>
      </c>
      <c r="I935">
        <v>4837347.60816222</v>
      </c>
      <c r="J935">
        <v>4920285.49210339</v>
      </c>
      <c r="K935">
        <v>4991474.57276771</v>
      </c>
      <c r="L935">
        <v>5050367.45336518</v>
      </c>
      <c r="M935">
        <v>5096507.24757581</v>
      </c>
      <c r="N935">
        <v>5122841.08981743</v>
      </c>
      <c r="O935">
        <v>5149311</v>
      </c>
      <c r="P935">
        <v>5249475.45879823</v>
      </c>
    </row>
    <row r="936" spans="1:16" ht="12.75">
      <c r="A936" s="62" t="str">
        <f t="shared" si="15"/>
        <v>Nicaragua_Public spending on education, total (% of GDP)</v>
      </c>
      <c r="B936" t="s">
        <v>505</v>
      </c>
      <c r="C936" t="s">
        <v>252</v>
      </c>
      <c r="D936" t="s">
        <v>420</v>
      </c>
      <c r="E936" t="s">
        <v>421</v>
      </c>
      <c r="F936" t="s">
        <v>193</v>
      </c>
      <c r="G936" t="s">
        <v>193</v>
      </c>
      <c r="H936" t="s">
        <v>193</v>
      </c>
      <c r="I936">
        <v>3.79340131123929</v>
      </c>
      <c r="J936">
        <v>3.89453891688052</v>
      </c>
      <c r="K936">
        <v>3.80027204176682</v>
      </c>
      <c r="L936">
        <v>3.10230937144196</v>
      </c>
      <c r="M936">
        <v>3.14252518369281</v>
      </c>
      <c r="N936" t="s">
        <v>193</v>
      </c>
      <c r="O936" t="s">
        <v>193</v>
      </c>
      <c r="P936" t="s">
        <v>193</v>
      </c>
    </row>
    <row r="937" spans="1:16" ht="12.75">
      <c r="A937" s="62" t="str">
        <f t="shared" si="15"/>
        <v>Nicaragua_Public spending on education, total (% of government expenditure)</v>
      </c>
      <c r="B937" t="s">
        <v>505</v>
      </c>
      <c r="C937" t="s">
        <v>252</v>
      </c>
      <c r="D937" t="s">
        <v>422</v>
      </c>
      <c r="E937" t="s">
        <v>423</v>
      </c>
      <c r="F937" t="s">
        <v>193</v>
      </c>
      <c r="G937" t="s">
        <v>193</v>
      </c>
      <c r="H937" t="s">
        <v>193</v>
      </c>
      <c r="I937">
        <v>6.44000036874629</v>
      </c>
      <c r="J937">
        <v>13.8000014187315</v>
      </c>
      <c r="K937">
        <v>13.6239933766656</v>
      </c>
      <c r="L937">
        <v>14.9999999957865</v>
      </c>
      <c r="M937" t="s">
        <v>193</v>
      </c>
      <c r="N937" t="s">
        <v>193</v>
      </c>
      <c r="O937" t="s">
        <v>193</v>
      </c>
      <c r="P937" t="s">
        <v>193</v>
      </c>
    </row>
    <row r="938" spans="1:16" ht="12.75">
      <c r="A938" s="62" t="str">
        <f t="shared" si="15"/>
        <v>Nicaragua_Health expenditure, public (% of total health expenditure)</v>
      </c>
      <c r="B938" t="s">
        <v>505</v>
      </c>
      <c r="C938" t="s">
        <v>252</v>
      </c>
      <c r="D938" t="s">
        <v>424</v>
      </c>
      <c r="E938" t="s">
        <v>425</v>
      </c>
      <c r="F938" t="s">
        <v>193</v>
      </c>
      <c r="G938" t="s">
        <v>193</v>
      </c>
      <c r="H938" t="s">
        <v>193</v>
      </c>
      <c r="I938" t="s">
        <v>193</v>
      </c>
      <c r="J938">
        <v>52.5</v>
      </c>
      <c r="K938">
        <v>48.6</v>
      </c>
      <c r="L938">
        <v>49.2</v>
      </c>
      <c r="M938">
        <v>46.4</v>
      </c>
      <c r="N938">
        <v>47.1</v>
      </c>
      <c r="O938" t="s">
        <v>193</v>
      </c>
      <c r="P938" t="s">
        <v>193</v>
      </c>
    </row>
    <row r="939" spans="1:16" ht="12.75">
      <c r="A939" s="62" t="str">
        <f t="shared" si="15"/>
        <v>Nicaragua_Health expenditure, public (% of GDP)</v>
      </c>
      <c r="B939" t="s">
        <v>505</v>
      </c>
      <c r="C939" t="s">
        <v>252</v>
      </c>
      <c r="D939" t="s">
        <v>426</v>
      </c>
      <c r="E939" t="s">
        <v>427</v>
      </c>
      <c r="F939" t="s">
        <v>193</v>
      </c>
      <c r="G939" t="s">
        <v>193</v>
      </c>
      <c r="H939" t="s">
        <v>193</v>
      </c>
      <c r="I939" t="s">
        <v>193</v>
      </c>
      <c r="J939">
        <v>3.7275</v>
      </c>
      <c r="K939">
        <v>3.7422</v>
      </c>
      <c r="L939">
        <v>3.8868</v>
      </c>
      <c r="M939">
        <v>3.6656</v>
      </c>
      <c r="N939">
        <v>3.8622</v>
      </c>
      <c r="O939" t="s">
        <v>193</v>
      </c>
      <c r="P939" t="s">
        <v>193</v>
      </c>
    </row>
    <row r="940" spans="1:16" ht="12.75">
      <c r="A940" s="62" t="str">
        <f t="shared" si="15"/>
        <v>Nicaragua_Health expenditure, total (% of GDP)</v>
      </c>
      <c r="B940" t="s">
        <v>505</v>
      </c>
      <c r="C940" t="s">
        <v>252</v>
      </c>
      <c r="D940" t="s">
        <v>428</v>
      </c>
      <c r="E940" t="s">
        <v>429</v>
      </c>
      <c r="F940" t="s">
        <v>193</v>
      </c>
      <c r="G940" t="s">
        <v>193</v>
      </c>
      <c r="H940" t="s">
        <v>193</v>
      </c>
      <c r="I940" t="s">
        <v>193</v>
      </c>
      <c r="J940">
        <v>7.1</v>
      </c>
      <c r="K940">
        <v>7.7</v>
      </c>
      <c r="L940">
        <v>7.9</v>
      </c>
      <c r="M940">
        <v>7.9</v>
      </c>
      <c r="N940">
        <v>8.2</v>
      </c>
      <c r="O940" t="s">
        <v>193</v>
      </c>
      <c r="P940" t="s">
        <v>193</v>
      </c>
    </row>
    <row r="941" spans="1:16" ht="12.75">
      <c r="A941" s="62" t="str">
        <f t="shared" si="15"/>
        <v>Nicaragua_GDP (current LCU)</v>
      </c>
      <c r="B941" t="s">
        <v>505</v>
      </c>
      <c r="C941" t="s">
        <v>252</v>
      </c>
      <c r="D941" t="s">
        <v>430</v>
      </c>
      <c r="E941" t="s">
        <v>431</v>
      </c>
      <c r="F941">
        <v>28008699904</v>
      </c>
      <c r="G941">
        <v>31967100928</v>
      </c>
      <c r="H941">
        <v>37804498944</v>
      </c>
      <c r="I941">
        <v>44197801984</v>
      </c>
      <c r="J941">
        <v>49951997952</v>
      </c>
      <c r="K941">
        <v>55155298304</v>
      </c>
      <c r="L941">
        <v>57376321536</v>
      </c>
      <c r="M941">
        <v>61958500352</v>
      </c>
      <c r="N941">
        <v>71660797952</v>
      </c>
      <c r="O941">
        <v>82161803264</v>
      </c>
      <c r="P941">
        <v>94318379008</v>
      </c>
    </row>
    <row r="942" spans="1:16" ht="12.75">
      <c r="A942" s="62" t="str">
        <f t="shared" si="15"/>
        <v>Nicaragua_GDP (current US$)</v>
      </c>
      <c r="B942" t="s">
        <v>505</v>
      </c>
      <c r="C942" t="s">
        <v>252</v>
      </c>
      <c r="D942" t="s">
        <v>432</v>
      </c>
      <c r="E942" t="s">
        <v>433</v>
      </c>
      <c r="F942">
        <v>3320533504</v>
      </c>
      <c r="G942">
        <v>3383442176</v>
      </c>
      <c r="H942">
        <v>3572495104</v>
      </c>
      <c r="I942">
        <v>3742404864</v>
      </c>
      <c r="J942">
        <v>3936327936</v>
      </c>
      <c r="K942">
        <v>4102657024</v>
      </c>
      <c r="L942">
        <v>4026408448</v>
      </c>
      <c r="M942">
        <v>4102112000</v>
      </c>
      <c r="N942">
        <v>4498480640</v>
      </c>
      <c r="O942">
        <v>4911046144</v>
      </c>
      <c r="P942">
        <v>5369218560</v>
      </c>
    </row>
    <row r="943" spans="1:16" ht="12.75">
      <c r="A943" s="62" t="str">
        <f t="shared" si="15"/>
        <v>Nicaragua_GDP per capita, PPP (current international $)</v>
      </c>
      <c r="B943" t="s">
        <v>505</v>
      </c>
      <c r="C943" t="s">
        <v>252</v>
      </c>
      <c r="D943" t="s">
        <v>434</v>
      </c>
      <c r="E943" t="s">
        <v>435</v>
      </c>
      <c r="F943">
        <v>2632.83439799406</v>
      </c>
      <c r="G943">
        <v>2728.34858852072</v>
      </c>
      <c r="H943">
        <v>2807.52067896527</v>
      </c>
      <c r="I943">
        <v>2994.25871400359</v>
      </c>
      <c r="J943">
        <v>3131.34072546117</v>
      </c>
      <c r="K943">
        <v>3254.62297141996</v>
      </c>
      <c r="L943">
        <v>3297.63921574778</v>
      </c>
      <c r="M943">
        <v>3418.33681805969</v>
      </c>
      <c r="N943">
        <v>3669.49745732445</v>
      </c>
      <c r="O943">
        <v>3910.55558938791</v>
      </c>
      <c r="P943">
        <v>4094.34636870061</v>
      </c>
    </row>
    <row r="944" spans="1:16" ht="12.75">
      <c r="A944" s="62" t="str">
        <f t="shared" si="15"/>
        <v>Nicaragua_GDP per capita, PPP (constant 2000 international $)</v>
      </c>
      <c r="B944" t="s">
        <v>505</v>
      </c>
      <c r="C944" t="s">
        <v>252</v>
      </c>
      <c r="D944" t="s">
        <v>436</v>
      </c>
      <c r="E944" t="s">
        <v>437</v>
      </c>
      <c r="F944">
        <v>2805.51205251111</v>
      </c>
      <c r="G944">
        <v>2859.52647018482</v>
      </c>
      <c r="H944">
        <v>2910.17199433921</v>
      </c>
      <c r="I944">
        <v>3059.52922217899</v>
      </c>
      <c r="J944">
        <v>3131.34072546117</v>
      </c>
      <c r="K944">
        <v>3178.06938454123</v>
      </c>
      <c r="L944">
        <v>3164.69005943869</v>
      </c>
      <c r="M944">
        <v>3215.08701683332</v>
      </c>
      <c r="N944">
        <v>3363.06733053308</v>
      </c>
      <c r="O944">
        <v>3479.05143227325</v>
      </c>
      <c r="P944">
        <v>3538.93706873961</v>
      </c>
    </row>
    <row r="945" spans="1:16" ht="12.75">
      <c r="A945" s="62" t="str">
        <f t="shared" si="15"/>
        <v>Nicaragua_GINI index</v>
      </c>
      <c r="B945" t="s">
        <v>505</v>
      </c>
      <c r="C945" t="s">
        <v>252</v>
      </c>
      <c r="D945" t="s">
        <v>438</v>
      </c>
      <c r="E945" t="s">
        <v>439</v>
      </c>
      <c r="F945" t="s">
        <v>193</v>
      </c>
      <c r="G945" t="s">
        <v>193</v>
      </c>
      <c r="H945">
        <v>45.24</v>
      </c>
      <c r="I945" t="s">
        <v>193</v>
      </c>
      <c r="J945" t="s">
        <v>193</v>
      </c>
      <c r="K945">
        <v>43.11</v>
      </c>
      <c r="L945" t="s">
        <v>193</v>
      </c>
      <c r="M945" t="s">
        <v>193</v>
      </c>
      <c r="N945" t="s">
        <v>193</v>
      </c>
      <c r="O945" t="s">
        <v>193</v>
      </c>
      <c r="P945" t="s">
        <v>193</v>
      </c>
    </row>
    <row r="946" spans="1:16" ht="12.75">
      <c r="A946" s="62" t="str">
        <f t="shared" si="15"/>
        <v>Pakistan_Poverty headcount ratio at national poverty line (% of population)</v>
      </c>
      <c r="B946" t="s">
        <v>506</v>
      </c>
      <c r="C946" t="s">
        <v>235</v>
      </c>
      <c r="D946" t="s">
        <v>408</v>
      </c>
      <c r="E946" t="s">
        <v>409</v>
      </c>
      <c r="F946" t="s">
        <v>193</v>
      </c>
      <c r="G946" t="s">
        <v>193</v>
      </c>
      <c r="H946" t="s">
        <v>193</v>
      </c>
      <c r="I946">
        <v>32.6</v>
      </c>
      <c r="J946" t="s">
        <v>193</v>
      </c>
      <c r="K946" t="s">
        <v>193</v>
      </c>
      <c r="L946" t="s">
        <v>193</v>
      </c>
      <c r="M946" t="s">
        <v>193</v>
      </c>
      <c r="N946" t="s">
        <v>193</v>
      </c>
      <c r="O946" t="s">
        <v>193</v>
      </c>
      <c r="P946" t="s">
        <v>193</v>
      </c>
    </row>
    <row r="947" spans="1:16" ht="12.75">
      <c r="A947" s="62" t="str">
        <f t="shared" si="15"/>
        <v>Pakistan_Poverty headcount ratio at $2 a day (PPP) (% of population)</v>
      </c>
      <c r="B947" t="s">
        <v>506</v>
      </c>
      <c r="C947" t="s">
        <v>235</v>
      </c>
      <c r="D947" t="s">
        <v>410</v>
      </c>
      <c r="E947" t="s">
        <v>411</v>
      </c>
      <c r="F947" t="s">
        <v>193</v>
      </c>
      <c r="G947" t="s">
        <v>193</v>
      </c>
      <c r="H947" t="s">
        <v>193</v>
      </c>
      <c r="I947">
        <v>65.82</v>
      </c>
      <c r="J947" t="s">
        <v>193</v>
      </c>
      <c r="K947" t="s">
        <v>193</v>
      </c>
      <c r="L947">
        <v>73.58</v>
      </c>
      <c r="M947" t="s">
        <v>193</v>
      </c>
      <c r="N947" t="s">
        <v>193</v>
      </c>
      <c r="O947" t="s">
        <v>193</v>
      </c>
      <c r="P947" t="s">
        <v>193</v>
      </c>
    </row>
    <row r="948" spans="1:16" ht="12.75">
      <c r="A948" s="62" t="str">
        <f t="shared" si="15"/>
        <v>Pakistan_Poverty headcount ratio at $1 a day (PPP) (% of population)</v>
      </c>
      <c r="B948" t="s">
        <v>506</v>
      </c>
      <c r="C948" t="s">
        <v>235</v>
      </c>
      <c r="D948" t="s">
        <v>412</v>
      </c>
      <c r="E948" t="s">
        <v>413</v>
      </c>
      <c r="F948" t="s">
        <v>193</v>
      </c>
      <c r="G948" t="s">
        <v>193</v>
      </c>
      <c r="H948" t="s">
        <v>193</v>
      </c>
      <c r="I948">
        <v>13.46</v>
      </c>
      <c r="J948" t="s">
        <v>193</v>
      </c>
      <c r="K948" t="s">
        <v>193</v>
      </c>
      <c r="L948">
        <v>16.984</v>
      </c>
      <c r="M948" t="s">
        <v>193</v>
      </c>
      <c r="N948" t="s">
        <v>193</v>
      </c>
      <c r="O948" t="s">
        <v>193</v>
      </c>
      <c r="P948" t="s">
        <v>193</v>
      </c>
    </row>
    <row r="949" spans="1:16" ht="12.75">
      <c r="A949" s="62" t="str">
        <f t="shared" si="15"/>
        <v>Pakistan_Poverty gap at $1 a day (PPP) (%)</v>
      </c>
      <c r="B949" t="s">
        <v>506</v>
      </c>
      <c r="C949" t="s">
        <v>235</v>
      </c>
      <c r="D949" t="s">
        <v>414</v>
      </c>
      <c r="E949" t="s">
        <v>415</v>
      </c>
      <c r="F949" t="s">
        <v>193</v>
      </c>
      <c r="G949" t="s">
        <v>193</v>
      </c>
      <c r="H949" t="s">
        <v>193</v>
      </c>
      <c r="I949">
        <v>2.396</v>
      </c>
      <c r="J949" t="s">
        <v>193</v>
      </c>
      <c r="K949" t="s">
        <v>193</v>
      </c>
      <c r="L949">
        <v>3.062</v>
      </c>
      <c r="M949" t="s">
        <v>193</v>
      </c>
      <c r="N949" t="s">
        <v>193</v>
      </c>
      <c r="O949" t="s">
        <v>193</v>
      </c>
      <c r="P949" t="s">
        <v>193</v>
      </c>
    </row>
    <row r="950" spans="1:16" ht="12.75">
      <c r="A950" s="62" t="str">
        <f t="shared" si="15"/>
        <v>Pakistan_Poverty gap at $2 a day (PPP) (%)</v>
      </c>
      <c r="B950" t="s">
        <v>506</v>
      </c>
      <c r="C950" t="s">
        <v>235</v>
      </c>
      <c r="D950" t="s">
        <v>416</v>
      </c>
      <c r="E950" t="s">
        <v>417</v>
      </c>
      <c r="F950" t="s">
        <v>193</v>
      </c>
      <c r="G950" t="s">
        <v>193</v>
      </c>
      <c r="H950" t="s">
        <v>193</v>
      </c>
      <c r="I950">
        <v>22.087</v>
      </c>
      <c r="J950" t="s">
        <v>193</v>
      </c>
      <c r="K950" t="s">
        <v>193</v>
      </c>
      <c r="L950">
        <v>26.086</v>
      </c>
      <c r="M950" t="s">
        <v>193</v>
      </c>
      <c r="N950" t="s">
        <v>193</v>
      </c>
      <c r="O950" t="s">
        <v>193</v>
      </c>
      <c r="P950" t="s">
        <v>193</v>
      </c>
    </row>
    <row r="951" spans="1:16" ht="12.75">
      <c r="A951" s="62" t="str">
        <f t="shared" si="15"/>
        <v>Pakistan_Population, total</v>
      </c>
      <c r="B951" t="s">
        <v>506</v>
      </c>
      <c r="C951" t="s">
        <v>235</v>
      </c>
      <c r="D951" t="s">
        <v>418</v>
      </c>
      <c r="E951" t="s">
        <v>419</v>
      </c>
      <c r="F951">
        <v>125409851.441762</v>
      </c>
      <c r="G951">
        <v>128457310.831797</v>
      </c>
      <c r="H951">
        <v>131582000</v>
      </c>
      <c r="I951">
        <v>134790000</v>
      </c>
      <c r="J951">
        <v>138080000</v>
      </c>
      <c r="K951">
        <v>141450153.445291</v>
      </c>
      <c r="L951">
        <v>144902409.42682</v>
      </c>
      <c r="M951">
        <v>148438764.342066</v>
      </c>
      <c r="N951">
        <v>152061263.041042</v>
      </c>
      <c r="O951">
        <v>155772000</v>
      </c>
      <c r="P951">
        <v>159002039.289709</v>
      </c>
    </row>
    <row r="952" spans="1:16" ht="12.75">
      <c r="A952" s="62" t="str">
        <f t="shared" si="15"/>
        <v>Pakistan_Public spending on education, total (% of GDP)</v>
      </c>
      <c r="B952" t="s">
        <v>506</v>
      </c>
      <c r="C952" t="s">
        <v>235</v>
      </c>
      <c r="D952" t="s">
        <v>420</v>
      </c>
      <c r="E952" t="s">
        <v>421</v>
      </c>
      <c r="F952" t="s">
        <v>193</v>
      </c>
      <c r="G952" t="s">
        <v>193</v>
      </c>
      <c r="H952" t="s">
        <v>193</v>
      </c>
      <c r="I952">
        <v>2.61148856115494</v>
      </c>
      <c r="J952">
        <v>1.8378160755295</v>
      </c>
      <c r="K952" t="s">
        <v>193</v>
      </c>
      <c r="L952" t="s">
        <v>193</v>
      </c>
      <c r="M952">
        <v>1.96969387403297</v>
      </c>
      <c r="N952">
        <v>1.96974738091724</v>
      </c>
      <c r="O952">
        <v>2.29833227718308</v>
      </c>
      <c r="P952" t="s">
        <v>193</v>
      </c>
    </row>
    <row r="953" spans="1:16" ht="12.75">
      <c r="A953" s="62" t="str">
        <f t="shared" si="15"/>
        <v>Pakistan_Public spending on education, total (% of government expenditure)</v>
      </c>
      <c r="B953" t="s">
        <v>506</v>
      </c>
      <c r="C953" t="s">
        <v>235</v>
      </c>
      <c r="D953" t="s">
        <v>422</v>
      </c>
      <c r="E953" t="s">
        <v>423</v>
      </c>
      <c r="F953" t="s">
        <v>193</v>
      </c>
      <c r="G953" t="s">
        <v>193</v>
      </c>
      <c r="H953" t="s">
        <v>193</v>
      </c>
      <c r="I953" t="s">
        <v>193</v>
      </c>
      <c r="J953" t="s">
        <v>193</v>
      </c>
      <c r="K953">
        <v>7</v>
      </c>
      <c r="L953">
        <v>8</v>
      </c>
      <c r="M953">
        <v>9</v>
      </c>
      <c r="N953">
        <v>6.41582343817192</v>
      </c>
      <c r="O953">
        <v>10.9421716719732</v>
      </c>
      <c r="P953" t="s">
        <v>193</v>
      </c>
    </row>
    <row r="954" spans="1:16" ht="12.75">
      <c r="A954" s="62" t="str">
        <f t="shared" si="15"/>
        <v>Pakistan_Health expenditure, public (% of total health expenditure)</v>
      </c>
      <c r="B954" t="s">
        <v>506</v>
      </c>
      <c r="C954" t="s">
        <v>235</v>
      </c>
      <c r="D954" t="s">
        <v>424</v>
      </c>
      <c r="E954" t="s">
        <v>425</v>
      </c>
      <c r="F954" t="s">
        <v>193</v>
      </c>
      <c r="G954" t="s">
        <v>193</v>
      </c>
      <c r="H954" t="s">
        <v>193</v>
      </c>
      <c r="I954" t="s">
        <v>193</v>
      </c>
      <c r="J954">
        <v>22.4</v>
      </c>
      <c r="K954">
        <v>21.5</v>
      </c>
      <c r="L954">
        <v>25.6</v>
      </c>
      <c r="M954">
        <v>18.3</v>
      </c>
      <c r="N954">
        <v>19.6</v>
      </c>
      <c r="O954" t="s">
        <v>193</v>
      </c>
      <c r="P954" t="s">
        <v>193</v>
      </c>
    </row>
    <row r="955" spans="1:16" ht="12.75">
      <c r="A955" s="62" t="str">
        <f t="shared" si="15"/>
        <v>Pakistan_Health expenditure, public (% of GDP)</v>
      </c>
      <c r="B955" t="s">
        <v>506</v>
      </c>
      <c r="C955" t="s">
        <v>235</v>
      </c>
      <c r="D955" t="s">
        <v>426</v>
      </c>
      <c r="E955" t="s">
        <v>427</v>
      </c>
      <c r="F955" t="s">
        <v>193</v>
      </c>
      <c r="G955" t="s">
        <v>193</v>
      </c>
      <c r="H955" t="s">
        <v>193</v>
      </c>
      <c r="I955" t="s">
        <v>193</v>
      </c>
      <c r="J955">
        <v>0.5376</v>
      </c>
      <c r="K955">
        <v>0.4945</v>
      </c>
      <c r="L955">
        <v>0.5888</v>
      </c>
      <c r="M955">
        <v>0.3843</v>
      </c>
      <c r="N955">
        <v>0.4312</v>
      </c>
      <c r="O955" t="s">
        <v>193</v>
      </c>
      <c r="P955" t="s">
        <v>193</v>
      </c>
    </row>
    <row r="956" spans="1:16" ht="12.75">
      <c r="A956" s="62" t="str">
        <f t="shared" si="15"/>
        <v>Pakistan_Health expenditure, total (% of GDP)</v>
      </c>
      <c r="B956" t="s">
        <v>506</v>
      </c>
      <c r="C956" t="s">
        <v>235</v>
      </c>
      <c r="D956" t="s">
        <v>428</v>
      </c>
      <c r="E956" t="s">
        <v>429</v>
      </c>
      <c r="F956" t="s">
        <v>193</v>
      </c>
      <c r="G956" t="s">
        <v>193</v>
      </c>
      <c r="H956" t="s">
        <v>193</v>
      </c>
      <c r="I956" t="s">
        <v>193</v>
      </c>
      <c r="J956">
        <v>2.4</v>
      </c>
      <c r="K956">
        <v>2.3</v>
      </c>
      <c r="L956">
        <v>2.3</v>
      </c>
      <c r="M956">
        <v>2.1</v>
      </c>
      <c r="N956">
        <v>2.2</v>
      </c>
      <c r="O956" t="s">
        <v>193</v>
      </c>
      <c r="P956" t="s">
        <v>193</v>
      </c>
    </row>
    <row r="957" spans="1:16" ht="12.75">
      <c r="A957" s="62" t="str">
        <f t="shared" si="15"/>
        <v>Pakistan_GDP (current LCU)</v>
      </c>
      <c r="B957" t="s">
        <v>506</v>
      </c>
      <c r="C957" t="s">
        <v>235</v>
      </c>
      <c r="D957" t="s">
        <v>430</v>
      </c>
      <c r="E957" t="s">
        <v>431</v>
      </c>
      <c r="F957">
        <v>2120172961792</v>
      </c>
      <c r="G957">
        <v>2428311961600</v>
      </c>
      <c r="H957">
        <v>2677655994368</v>
      </c>
      <c r="I957">
        <v>2938378911744</v>
      </c>
      <c r="J957">
        <v>3793436016640</v>
      </c>
      <c r="K957">
        <v>4162654044160</v>
      </c>
      <c r="L957">
        <v>4401699225600</v>
      </c>
      <c r="M957">
        <v>4822841950208</v>
      </c>
      <c r="N957">
        <v>5640580235264</v>
      </c>
      <c r="O957">
        <v>6581103099904</v>
      </c>
      <c r="P957">
        <v>7713063960576</v>
      </c>
    </row>
    <row r="958" spans="1:16" ht="12.75">
      <c r="A958" s="62" t="str">
        <f t="shared" si="15"/>
        <v>Pakistan_GDP (current US$)</v>
      </c>
      <c r="B958" t="s">
        <v>506</v>
      </c>
      <c r="C958" t="s">
        <v>235</v>
      </c>
      <c r="D958" t="s">
        <v>432</v>
      </c>
      <c r="E958" t="s">
        <v>433</v>
      </c>
      <c r="F958">
        <v>63320170496</v>
      </c>
      <c r="G958">
        <v>62433341440</v>
      </c>
      <c r="H958">
        <v>62191955968</v>
      </c>
      <c r="I958">
        <v>62973853696</v>
      </c>
      <c r="J958">
        <v>73320824832</v>
      </c>
      <c r="K958">
        <v>71498694656</v>
      </c>
      <c r="L958">
        <v>71479361536</v>
      </c>
      <c r="M958">
        <v>82343215104</v>
      </c>
      <c r="N958">
        <v>97994784768</v>
      </c>
      <c r="O958">
        <v>111298887680</v>
      </c>
      <c r="P958">
        <v>128830201856</v>
      </c>
    </row>
    <row r="959" spans="1:16" ht="12.75">
      <c r="A959" s="62" t="str">
        <f t="shared" si="15"/>
        <v>Pakistan_GDP per capita, PPP (current international $)</v>
      </c>
      <c r="B959" t="s">
        <v>506</v>
      </c>
      <c r="C959" t="s">
        <v>235</v>
      </c>
      <c r="D959" t="s">
        <v>434</v>
      </c>
      <c r="E959" t="s">
        <v>435</v>
      </c>
      <c r="F959">
        <v>1735.99996942468</v>
      </c>
      <c r="G959">
        <v>1740.60462362705</v>
      </c>
      <c r="H959">
        <v>1761.96675780616</v>
      </c>
      <c r="I959">
        <v>1808.75063898109</v>
      </c>
      <c r="J959">
        <v>1881.00075188244</v>
      </c>
      <c r="K959">
        <v>1917.69252123228</v>
      </c>
      <c r="L959">
        <v>1966.18291797429</v>
      </c>
      <c r="M959">
        <v>2053.41370168796</v>
      </c>
      <c r="N959">
        <v>2208.55340066085</v>
      </c>
      <c r="O959">
        <v>2382.92298248541</v>
      </c>
      <c r="P959">
        <v>2552.55066900463</v>
      </c>
    </row>
    <row r="960" spans="1:16" ht="12.75">
      <c r="A960" s="62" t="str">
        <f t="shared" si="15"/>
        <v>Pakistan_GDP per capita, PPP (constant 2000 international $)</v>
      </c>
      <c r="B960" t="s">
        <v>506</v>
      </c>
      <c r="C960" t="s">
        <v>235</v>
      </c>
      <c r="D960" t="s">
        <v>436</v>
      </c>
      <c r="E960" t="s">
        <v>437</v>
      </c>
      <c r="F960">
        <v>1849.85764432832</v>
      </c>
      <c r="G960">
        <v>1824.29218037944</v>
      </c>
      <c r="H960">
        <v>1826.38950870131</v>
      </c>
      <c r="I960">
        <v>1848.17878619387</v>
      </c>
      <c r="J960">
        <v>1881.00075188244</v>
      </c>
      <c r="K960">
        <v>1872.5855327055</v>
      </c>
      <c r="L960">
        <v>1886.91337300839</v>
      </c>
      <c r="M960">
        <v>1931.32042974981</v>
      </c>
      <c r="N960">
        <v>2024.1228876381</v>
      </c>
      <c r="O960">
        <v>2119.98306269068</v>
      </c>
      <c r="P960">
        <v>2206.29017892382</v>
      </c>
    </row>
    <row r="961" spans="1:16" ht="12.75">
      <c r="A961" s="62" t="str">
        <f t="shared" si="15"/>
        <v>Pakistan_GINI index</v>
      </c>
      <c r="B961" t="s">
        <v>506</v>
      </c>
      <c r="C961" t="s">
        <v>235</v>
      </c>
      <c r="D961" t="s">
        <v>438</v>
      </c>
      <c r="E961" t="s">
        <v>439</v>
      </c>
      <c r="F961" t="s">
        <v>193</v>
      </c>
      <c r="G961" t="s">
        <v>193</v>
      </c>
      <c r="H961" t="s">
        <v>193</v>
      </c>
      <c r="I961">
        <v>33.02</v>
      </c>
      <c r="J961" t="s">
        <v>193</v>
      </c>
      <c r="K961" t="s">
        <v>193</v>
      </c>
      <c r="L961">
        <v>30.5647</v>
      </c>
      <c r="M961" t="s">
        <v>193</v>
      </c>
      <c r="N961" t="s">
        <v>193</v>
      </c>
      <c r="O961" t="s">
        <v>193</v>
      </c>
      <c r="P961" t="s">
        <v>193</v>
      </c>
    </row>
    <row r="962" spans="1:16" ht="12.75">
      <c r="A962" s="62" t="str">
        <f t="shared" si="15"/>
        <v>Panama_Poverty headcount ratio at national poverty line (% of population)</v>
      </c>
      <c r="B962" t="s">
        <v>507</v>
      </c>
      <c r="C962" t="s">
        <v>253</v>
      </c>
      <c r="D962" t="s">
        <v>408</v>
      </c>
      <c r="E962" t="s">
        <v>409</v>
      </c>
      <c r="F962" t="s">
        <v>193</v>
      </c>
      <c r="G962">
        <v>37.3</v>
      </c>
      <c r="H962" t="s">
        <v>193</v>
      </c>
      <c r="I962" t="s">
        <v>193</v>
      </c>
      <c r="J962" t="s">
        <v>193</v>
      </c>
      <c r="K962" t="s">
        <v>193</v>
      </c>
      <c r="L962" t="s">
        <v>193</v>
      </c>
      <c r="M962" t="s">
        <v>193</v>
      </c>
      <c r="N962" t="s">
        <v>193</v>
      </c>
      <c r="O962" t="s">
        <v>193</v>
      </c>
      <c r="P962" t="s">
        <v>193</v>
      </c>
    </row>
    <row r="963" spans="1:16" ht="12.75">
      <c r="A963" s="62" t="str">
        <f t="shared" si="15"/>
        <v>Panama_Poverty headcount ratio at $2 a day (PPP) (% of population)</v>
      </c>
      <c r="B963" t="s">
        <v>507</v>
      </c>
      <c r="C963" t="s">
        <v>253</v>
      </c>
      <c r="D963" t="s">
        <v>410</v>
      </c>
      <c r="E963" t="s">
        <v>411</v>
      </c>
      <c r="F963">
        <v>18.47</v>
      </c>
      <c r="G963" t="s">
        <v>193</v>
      </c>
      <c r="H963" t="s">
        <v>193</v>
      </c>
      <c r="I963" t="s">
        <v>193</v>
      </c>
      <c r="J963">
        <v>17.64</v>
      </c>
      <c r="K963" t="s">
        <v>193</v>
      </c>
      <c r="L963">
        <v>17.42</v>
      </c>
      <c r="M963">
        <v>18.03</v>
      </c>
      <c r="N963" t="s">
        <v>193</v>
      </c>
      <c r="O963" t="s">
        <v>193</v>
      </c>
      <c r="P963" t="s">
        <v>193</v>
      </c>
    </row>
    <row r="964" spans="1:16" ht="12.75">
      <c r="A964" s="62" t="str">
        <f t="shared" si="15"/>
        <v>Panama_Poverty headcount ratio at $1 a day (PPP) (% of population)</v>
      </c>
      <c r="B964" t="s">
        <v>507</v>
      </c>
      <c r="C964" t="s">
        <v>253</v>
      </c>
      <c r="D964" t="s">
        <v>412</v>
      </c>
      <c r="E964" t="s">
        <v>413</v>
      </c>
      <c r="F964">
        <v>7.92</v>
      </c>
      <c r="G964" t="s">
        <v>193</v>
      </c>
      <c r="H964" t="s">
        <v>193</v>
      </c>
      <c r="I964" t="s">
        <v>193</v>
      </c>
      <c r="J964">
        <v>7.2</v>
      </c>
      <c r="K964" t="s">
        <v>193</v>
      </c>
      <c r="L964">
        <v>6.06</v>
      </c>
      <c r="M964">
        <v>7.41</v>
      </c>
      <c r="N964" t="s">
        <v>193</v>
      </c>
      <c r="O964" t="s">
        <v>193</v>
      </c>
      <c r="P964" t="s">
        <v>193</v>
      </c>
    </row>
    <row r="965" spans="1:16" ht="12.75">
      <c r="A965" s="62" t="str">
        <f t="shared" si="15"/>
        <v>Panama_Poverty gap at $1 a day (PPP) (%)</v>
      </c>
      <c r="B965" t="s">
        <v>507</v>
      </c>
      <c r="C965" t="s">
        <v>253</v>
      </c>
      <c r="D965" t="s">
        <v>414</v>
      </c>
      <c r="E965" t="s">
        <v>415</v>
      </c>
      <c r="F965">
        <v>2.81</v>
      </c>
      <c r="G965" t="s">
        <v>193</v>
      </c>
      <c r="H965" t="s">
        <v>193</v>
      </c>
      <c r="I965" t="s">
        <v>193</v>
      </c>
      <c r="J965">
        <v>2.28</v>
      </c>
      <c r="K965" t="s">
        <v>193</v>
      </c>
      <c r="L965">
        <v>1.52</v>
      </c>
      <c r="M965">
        <v>2.05</v>
      </c>
      <c r="N965" t="s">
        <v>193</v>
      </c>
      <c r="O965" t="s">
        <v>193</v>
      </c>
      <c r="P965" t="s">
        <v>193</v>
      </c>
    </row>
    <row r="966" spans="1:16" ht="12.75">
      <c r="A966" s="62" t="str">
        <f t="shared" si="15"/>
        <v>Panama_Poverty gap at $2 a day (PPP) (%)</v>
      </c>
      <c r="B966" t="s">
        <v>507</v>
      </c>
      <c r="C966" t="s">
        <v>253</v>
      </c>
      <c r="D966" t="s">
        <v>416</v>
      </c>
      <c r="E966" t="s">
        <v>417</v>
      </c>
      <c r="F966">
        <v>8.04</v>
      </c>
      <c r="G966" t="s">
        <v>193</v>
      </c>
      <c r="H966" t="s">
        <v>193</v>
      </c>
      <c r="I966" t="s">
        <v>193</v>
      </c>
      <c r="J966">
        <v>7.4</v>
      </c>
      <c r="K966" t="s">
        <v>193</v>
      </c>
      <c r="L966">
        <v>6.68</v>
      </c>
      <c r="M966">
        <v>7.46</v>
      </c>
      <c r="N966" t="s">
        <v>193</v>
      </c>
      <c r="O966" t="s">
        <v>193</v>
      </c>
      <c r="P966" t="s">
        <v>193</v>
      </c>
    </row>
    <row r="967" spans="1:16" ht="12.75">
      <c r="A967" s="62" t="str">
        <f t="shared" si="15"/>
        <v>Panama_Population, total</v>
      </c>
      <c r="B967" t="s">
        <v>507</v>
      </c>
      <c r="C967" t="s">
        <v>253</v>
      </c>
      <c r="D967" t="s">
        <v>418</v>
      </c>
      <c r="E967" t="s">
        <v>419</v>
      </c>
      <c r="F967">
        <v>2725161</v>
      </c>
      <c r="G967">
        <v>2780741</v>
      </c>
      <c r="H967">
        <v>2836920</v>
      </c>
      <c r="I967">
        <v>2893401</v>
      </c>
      <c r="J967">
        <v>2949948</v>
      </c>
      <c r="K967">
        <v>3006435</v>
      </c>
      <c r="L967">
        <v>3062835</v>
      </c>
      <c r="M967">
        <v>3119132</v>
      </c>
      <c r="N967">
        <v>3175354</v>
      </c>
      <c r="O967">
        <v>3231502</v>
      </c>
      <c r="P967">
        <v>3284438.60160733</v>
      </c>
    </row>
    <row r="968" spans="1:16" ht="12.75">
      <c r="A968" s="62" t="str">
        <f t="shared" si="15"/>
        <v>Panama_Public spending on education, total (% of GDP)</v>
      </c>
      <c r="B968" t="s">
        <v>507</v>
      </c>
      <c r="C968" t="s">
        <v>253</v>
      </c>
      <c r="D968" t="s">
        <v>420</v>
      </c>
      <c r="E968" t="s">
        <v>421</v>
      </c>
      <c r="F968" t="s">
        <v>193</v>
      </c>
      <c r="G968" t="s">
        <v>193</v>
      </c>
      <c r="H968" t="s">
        <v>193</v>
      </c>
      <c r="I968">
        <v>4.83590775776219</v>
      </c>
      <c r="J968">
        <v>5.03969033010186</v>
      </c>
      <c r="K968">
        <v>4.34738333668885</v>
      </c>
      <c r="L968">
        <v>4.43835547588005</v>
      </c>
      <c r="M968">
        <v>4.41398962827758</v>
      </c>
      <c r="N968">
        <v>3.78258035987464</v>
      </c>
      <c r="O968" t="s">
        <v>193</v>
      </c>
      <c r="P968" t="s">
        <v>193</v>
      </c>
    </row>
    <row r="969" spans="1:16" ht="12.75">
      <c r="A969" s="62" t="str">
        <f t="shared" si="15"/>
        <v>Panama_Public spending on education, total (% of government expenditure)</v>
      </c>
      <c r="B969" t="s">
        <v>507</v>
      </c>
      <c r="C969" t="s">
        <v>253</v>
      </c>
      <c r="D969" t="s">
        <v>422</v>
      </c>
      <c r="E969" t="s">
        <v>423</v>
      </c>
      <c r="F969" t="s">
        <v>193</v>
      </c>
      <c r="G969" t="s">
        <v>193</v>
      </c>
      <c r="H969" t="s">
        <v>193</v>
      </c>
      <c r="I969" t="s">
        <v>193</v>
      </c>
      <c r="J969" t="s">
        <v>193</v>
      </c>
      <c r="K969">
        <v>7.29040335179662</v>
      </c>
      <c r="L969">
        <v>7.73576173838943</v>
      </c>
      <c r="M969" t="s">
        <v>193</v>
      </c>
      <c r="N969">
        <v>8.94993640548339</v>
      </c>
      <c r="O969" t="s">
        <v>193</v>
      </c>
      <c r="P969" t="s">
        <v>193</v>
      </c>
    </row>
    <row r="970" spans="1:16" ht="12.75">
      <c r="A970" s="62" t="str">
        <f t="shared" si="15"/>
        <v>Panama_Health expenditure, public (% of total health expenditure)</v>
      </c>
      <c r="B970" t="s">
        <v>507</v>
      </c>
      <c r="C970" t="s">
        <v>253</v>
      </c>
      <c r="D970" t="s">
        <v>424</v>
      </c>
      <c r="E970" t="s">
        <v>425</v>
      </c>
      <c r="F970" t="s">
        <v>193</v>
      </c>
      <c r="G970" t="s">
        <v>193</v>
      </c>
      <c r="H970" t="s">
        <v>193</v>
      </c>
      <c r="I970" t="s">
        <v>193</v>
      </c>
      <c r="J970">
        <v>68.1</v>
      </c>
      <c r="K970">
        <v>67.1</v>
      </c>
      <c r="L970">
        <v>69</v>
      </c>
      <c r="M970">
        <v>66.4</v>
      </c>
      <c r="N970">
        <v>66.9</v>
      </c>
      <c r="O970" t="s">
        <v>193</v>
      </c>
      <c r="P970" t="s">
        <v>193</v>
      </c>
    </row>
    <row r="971" spans="1:16" ht="12.75">
      <c r="A971" s="62" t="str">
        <f t="shared" si="15"/>
        <v>Panama_Health expenditure, public (% of GDP)</v>
      </c>
      <c r="B971" t="s">
        <v>507</v>
      </c>
      <c r="C971" t="s">
        <v>253</v>
      </c>
      <c r="D971" t="s">
        <v>426</v>
      </c>
      <c r="E971" t="s">
        <v>427</v>
      </c>
      <c r="F971" t="s">
        <v>193</v>
      </c>
      <c r="G971" t="s">
        <v>193</v>
      </c>
      <c r="H971" t="s">
        <v>193</v>
      </c>
      <c r="I971" t="s">
        <v>193</v>
      </c>
      <c r="J971">
        <v>5.3118</v>
      </c>
      <c r="K971">
        <v>5.1667</v>
      </c>
      <c r="L971">
        <v>5.52</v>
      </c>
      <c r="M971">
        <v>5.0464</v>
      </c>
      <c r="N971">
        <v>5.1513</v>
      </c>
      <c r="O971" t="s">
        <v>193</v>
      </c>
      <c r="P971" t="s">
        <v>193</v>
      </c>
    </row>
    <row r="972" spans="1:16" ht="12.75">
      <c r="A972" s="62" t="str">
        <f t="shared" si="15"/>
        <v>Panama_Health expenditure, total (% of GDP)</v>
      </c>
      <c r="B972" t="s">
        <v>507</v>
      </c>
      <c r="C972" t="s">
        <v>253</v>
      </c>
      <c r="D972" t="s">
        <v>428</v>
      </c>
      <c r="E972" t="s">
        <v>429</v>
      </c>
      <c r="F972" t="s">
        <v>193</v>
      </c>
      <c r="G972" t="s">
        <v>193</v>
      </c>
      <c r="H972" t="s">
        <v>193</v>
      </c>
      <c r="I972" t="s">
        <v>193</v>
      </c>
      <c r="J972">
        <v>7.8</v>
      </c>
      <c r="K972">
        <v>7.7</v>
      </c>
      <c r="L972">
        <v>8</v>
      </c>
      <c r="M972">
        <v>7.6</v>
      </c>
      <c r="N972">
        <v>7.7</v>
      </c>
      <c r="O972" t="s">
        <v>193</v>
      </c>
      <c r="P972" t="s">
        <v>193</v>
      </c>
    </row>
    <row r="973" spans="1:16" ht="12.75">
      <c r="A973" s="62" t="str">
        <f t="shared" si="15"/>
        <v>Panama_GDP (current LCU)</v>
      </c>
      <c r="B973" t="s">
        <v>507</v>
      </c>
      <c r="C973" t="s">
        <v>253</v>
      </c>
      <c r="D973" t="s">
        <v>430</v>
      </c>
      <c r="E973" t="s">
        <v>431</v>
      </c>
      <c r="F973">
        <v>9322099712</v>
      </c>
      <c r="G973">
        <v>10083999744</v>
      </c>
      <c r="H973">
        <v>10932500480</v>
      </c>
      <c r="I973">
        <v>11456300032</v>
      </c>
      <c r="J973">
        <v>11620500480</v>
      </c>
      <c r="K973">
        <v>11807500288</v>
      </c>
      <c r="L973">
        <v>12272400384</v>
      </c>
      <c r="M973">
        <v>12933199872</v>
      </c>
      <c r="N973">
        <v>14179300352</v>
      </c>
      <c r="O973">
        <v>15483299840</v>
      </c>
      <c r="P973">
        <v>17097100288</v>
      </c>
    </row>
    <row r="974" spans="1:16" ht="12.75">
      <c r="A974" s="62" t="str">
        <f t="shared" si="15"/>
        <v>Panama_GDP (current US$)</v>
      </c>
      <c r="B974" t="s">
        <v>507</v>
      </c>
      <c r="C974" t="s">
        <v>253</v>
      </c>
      <c r="D974" t="s">
        <v>432</v>
      </c>
      <c r="E974" t="s">
        <v>433</v>
      </c>
      <c r="F974">
        <v>9322099712</v>
      </c>
      <c r="G974">
        <v>10083999744</v>
      </c>
      <c r="H974">
        <v>10932500480</v>
      </c>
      <c r="I974">
        <v>11456300032</v>
      </c>
      <c r="J974">
        <v>11620500480</v>
      </c>
      <c r="K974">
        <v>11807500288</v>
      </c>
      <c r="L974">
        <v>12272400384</v>
      </c>
      <c r="M974">
        <v>12933199872</v>
      </c>
      <c r="N974">
        <v>14179300352</v>
      </c>
      <c r="O974">
        <v>15483299840</v>
      </c>
      <c r="P974">
        <v>17097100288</v>
      </c>
    </row>
    <row r="975" spans="1:16" ht="12.75">
      <c r="A975" s="62" t="str">
        <f t="shared" si="15"/>
        <v>Panama_GDP per capita, PPP (current international $)</v>
      </c>
      <c r="B975" t="s">
        <v>507</v>
      </c>
      <c r="C975" t="s">
        <v>253</v>
      </c>
      <c r="D975" t="s">
        <v>434</v>
      </c>
      <c r="E975" t="s">
        <v>435</v>
      </c>
      <c r="F975">
        <v>5037.27451333497</v>
      </c>
      <c r="G975">
        <v>5343.33062264935</v>
      </c>
      <c r="H975">
        <v>5684.49305120638</v>
      </c>
      <c r="I975">
        <v>5875.54394766054</v>
      </c>
      <c r="J975">
        <v>6048.43615453609</v>
      </c>
      <c r="K975">
        <v>6112.65440710694</v>
      </c>
      <c r="L975">
        <v>6241.17475022306</v>
      </c>
      <c r="M975">
        <v>6516.25533205847</v>
      </c>
      <c r="N975">
        <v>7062.95209894728</v>
      </c>
      <c r="O975">
        <v>7643.8598105469</v>
      </c>
      <c r="P975">
        <v>8369.38544046782</v>
      </c>
    </row>
    <row r="976" spans="1:16" ht="12.75">
      <c r="A976" s="62" t="str">
        <f t="shared" si="15"/>
        <v>Panama_GDP per capita, PPP (constant 2000 international $)</v>
      </c>
      <c r="B976" t="s">
        <v>507</v>
      </c>
      <c r="C976" t="s">
        <v>253</v>
      </c>
      <c r="D976" t="s">
        <v>436</v>
      </c>
      <c r="E976" t="s">
        <v>437</v>
      </c>
      <c r="F976">
        <v>5367.65030483326</v>
      </c>
      <c r="G976">
        <v>5600.23576851639</v>
      </c>
      <c r="H976">
        <v>5892.3350426518</v>
      </c>
      <c r="I976">
        <v>6003.62230557835</v>
      </c>
      <c r="J976">
        <v>6048.43615453609</v>
      </c>
      <c r="K976">
        <v>5968.87565782527</v>
      </c>
      <c r="L976">
        <v>5989.55264630786</v>
      </c>
      <c r="M976">
        <v>6128.80737959693</v>
      </c>
      <c r="N976">
        <v>6473.14345828948</v>
      </c>
      <c r="O976">
        <v>6800.41002208119</v>
      </c>
      <c r="P976">
        <v>7234.05538042963</v>
      </c>
    </row>
    <row r="977" spans="1:16" ht="12.75">
      <c r="A977" s="62" t="str">
        <f t="shared" si="15"/>
        <v>Panama_GINI index</v>
      </c>
      <c r="B977" t="s">
        <v>507</v>
      </c>
      <c r="C977" t="s">
        <v>253</v>
      </c>
      <c r="D977" t="s">
        <v>438</v>
      </c>
      <c r="E977" t="s">
        <v>439</v>
      </c>
      <c r="F977">
        <v>56.31</v>
      </c>
      <c r="G977" t="s">
        <v>193</v>
      </c>
      <c r="H977" t="s">
        <v>193</v>
      </c>
      <c r="I977" t="s">
        <v>193</v>
      </c>
      <c r="J977">
        <v>56.56</v>
      </c>
      <c r="K977" t="s">
        <v>193</v>
      </c>
      <c r="L977">
        <v>56.51</v>
      </c>
      <c r="M977">
        <v>56.08</v>
      </c>
      <c r="N977" t="s">
        <v>193</v>
      </c>
      <c r="O977" t="s">
        <v>193</v>
      </c>
      <c r="P977" t="s">
        <v>193</v>
      </c>
    </row>
    <row r="978" spans="1:16" ht="12.75">
      <c r="A978" s="62" t="str">
        <f t="shared" si="15"/>
        <v>Paraguay_Poverty headcount ratio at national poverty line (% of population)</v>
      </c>
      <c r="B978" t="s">
        <v>508</v>
      </c>
      <c r="C978" t="s">
        <v>128</v>
      </c>
      <c r="D978" t="s">
        <v>408</v>
      </c>
      <c r="E978" t="s">
        <v>409</v>
      </c>
      <c r="F978" t="s">
        <v>193</v>
      </c>
      <c r="G978" t="s">
        <v>193</v>
      </c>
      <c r="H978" t="s">
        <v>193</v>
      </c>
      <c r="I978" t="s">
        <v>193</v>
      </c>
      <c r="J978" t="s">
        <v>193</v>
      </c>
      <c r="K978" t="s">
        <v>193</v>
      </c>
      <c r="L978" t="s">
        <v>193</v>
      </c>
      <c r="M978" t="s">
        <v>193</v>
      </c>
      <c r="N978" t="s">
        <v>193</v>
      </c>
      <c r="O978" t="s">
        <v>193</v>
      </c>
      <c r="P978" t="s">
        <v>193</v>
      </c>
    </row>
    <row r="979" spans="1:16" ht="12.75">
      <c r="A979" s="62" t="str">
        <f t="shared" si="15"/>
        <v>Paraguay_Poverty headcount ratio at $2 a day (PPP) (% of population)</v>
      </c>
      <c r="B979" t="s">
        <v>508</v>
      </c>
      <c r="C979" t="s">
        <v>128</v>
      </c>
      <c r="D979" t="s">
        <v>410</v>
      </c>
      <c r="E979" t="s">
        <v>411</v>
      </c>
      <c r="F979" t="s">
        <v>193</v>
      </c>
      <c r="G979" t="s">
        <v>193</v>
      </c>
      <c r="H979">
        <v>30.29</v>
      </c>
      <c r="I979">
        <v>30.29</v>
      </c>
      <c r="J979" t="s">
        <v>193</v>
      </c>
      <c r="K979" t="s">
        <v>193</v>
      </c>
      <c r="L979">
        <v>33.22</v>
      </c>
      <c r="M979">
        <v>29.81</v>
      </c>
      <c r="N979" t="s">
        <v>193</v>
      </c>
      <c r="O979" t="s">
        <v>193</v>
      </c>
      <c r="P979" t="s">
        <v>193</v>
      </c>
    </row>
    <row r="980" spans="1:16" ht="12.75">
      <c r="A980" s="62" t="str">
        <f t="shared" si="15"/>
        <v>Paraguay_Poverty headcount ratio at $1 a day (PPP) (% of population)</v>
      </c>
      <c r="B980" t="s">
        <v>508</v>
      </c>
      <c r="C980" t="s">
        <v>128</v>
      </c>
      <c r="D980" t="s">
        <v>412</v>
      </c>
      <c r="E980" t="s">
        <v>413</v>
      </c>
      <c r="F980" t="s">
        <v>193</v>
      </c>
      <c r="G980" t="s">
        <v>193</v>
      </c>
      <c r="H980">
        <v>15.88</v>
      </c>
      <c r="I980">
        <v>14.86</v>
      </c>
      <c r="J980" t="s">
        <v>193</v>
      </c>
      <c r="K980" t="s">
        <v>193</v>
      </c>
      <c r="L980">
        <v>16.37</v>
      </c>
      <c r="M980">
        <v>13.56</v>
      </c>
      <c r="N980" t="s">
        <v>193</v>
      </c>
      <c r="O980" t="s">
        <v>193</v>
      </c>
      <c r="P980" t="s">
        <v>193</v>
      </c>
    </row>
    <row r="981" spans="1:16" ht="12.75">
      <c r="A981" s="62" t="str">
        <f t="shared" si="15"/>
        <v>Paraguay_Poverty gap at $1 a day (PPP) (%)</v>
      </c>
      <c r="B981" t="s">
        <v>508</v>
      </c>
      <c r="C981" t="s">
        <v>128</v>
      </c>
      <c r="D981" t="s">
        <v>414</v>
      </c>
      <c r="E981" t="s">
        <v>415</v>
      </c>
      <c r="F981" t="s">
        <v>193</v>
      </c>
      <c r="G981" t="s">
        <v>193</v>
      </c>
      <c r="H981">
        <v>7.95</v>
      </c>
      <c r="I981">
        <v>6.8</v>
      </c>
      <c r="J981" t="s">
        <v>193</v>
      </c>
      <c r="K981" t="s">
        <v>193</v>
      </c>
      <c r="L981">
        <v>7.38</v>
      </c>
      <c r="M981">
        <v>5.61</v>
      </c>
      <c r="N981" t="s">
        <v>193</v>
      </c>
      <c r="O981" t="s">
        <v>193</v>
      </c>
      <c r="P981" t="s">
        <v>193</v>
      </c>
    </row>
    <row r="982" spans="1:16" ht="12.75">
      <c r="A982" s="62" t="str">
        <f t="shared" si="15"/>
        <v>Paraguay_Poverty gap at $2 a day (PPP) (%)</v>
      </c>
      <c r="B982" t="s">
        <v>508</v>
      </c>
      <c r="C982" t="s">
        <v>128</v>
      </c>
      <c r="D982" t="s">
        <v>416</v>
      </c>
      <c r="E982" t="s">
        <v>417</v>
      </c>
      <c r="F982" t="s">
        <v>193</v>
      </c>
      <c r="G982" t="s">
        <v>193</v>
      </c>
      <c r="H982">
        <v>15.6</v>
      </c>
      <c r="I982">
        <v>14.68</v>
      </c>
      <c r="J982" t="s">
        <v>193</v>
      </c>
      <c r="K982" t="s">
        <v>193</v>
      </c>
      <c r="L982">
        <v>16.22</v>
      </c>
      <c r="M982">
        <v>13.75</v>
      </c>
      <c r="N982" t="s">
        <v>193</v>
      </c>
      <c r="O982" t="s">
        <v>193</v>
      </c>
      <c r="P982" t="s">
        <v>193</v>
      </c>
    </row>
    <row r="983" spans="1:16" ht="12.75">
      <c r="A983" s="62" t="str">
        <f t="shared" si="15"/>
        <v>Paraguay_Population, total</v>
      </c>
      <c r="B983" t="s">
        <v>508</v>
      </c>
      <c r="C983" t="s">
        <v>128</v>
      </c>
      <c r="D983" t="s">
        <v>418</v>
      </c>
      <c r="E983" t="s">
        <v>419</v>
      </c>
      <c r="F983">
        <v>4908587.304</v>
      </c>
      <c r="G983">
        <v>5017920.432</v>
      </c>
      <c r="H983">
        <v>5127166.608</v>
      </c>
      <c r="I983">
        <v>5236543.056</v>
      </c>
      <c r="J983">
        <v>5346267</v>
      </c>
      <c r="K983">
        <v>5456418.12</v>
      </c>
      <c r="L983">
        <v>5566851.6</v>
      </c>
      <c r="M983">
        <v>5677447.92</v>
      </c>
      <c r="N983">
        <v>5788087.56</v>
      </c>
      <c r="O983">
        <v>5898651</v>
      </c>
      <c r="P983">
        <v>6016000</v>
      </c>
    </row>
    <row r="984" spans="1:16" ht="12.75">
      <c r="A984" s="62" t="str">
        <f t="shared" si="15"/>
        <v>Paraguay_Public spending on education, total (% of GDP)</v>
      </c>
      <c r="B984" t="s">
        <v>508</v>
      </c>
      <c r="C984" t="s">
        <v>128</v>
      </c>
      <c r="D984" t="s">
        <v>420</v>
      </c>
      <c r="E984" t="s">
        <v>421</v>
      </c>
      <c r="F984" t="s">
        <v>193</v>
      </c>
      <c r="G984" t="s">
        <v>193</v>
      </c>
      <c r="H984" t="s">
        <v>193</v>
      </c>
      <c r="I984">
        <v>4.83002216007914</v>
      </c>
      <c r="J984">
        <v>4.85138001498964</v>
      </c>
      <c r="K984">
        <v>4.75577860377259</v>
      </c>
      <c r="L984">
        <v>4.38376399070838</v>
      </c>
      <c r="M984">
        <v>4.30734525516843</v>
      </c>
      <c r="N984" t="s">
        <v>193</v>
      </c>
      <c r="O984" t="s">
        <v>193</v>
      </c>
      <c r="P984" t="s">
        <v>193</v>
      </c>
    </row>
    <row r="985" spans="1:16" ht="12.75">
      <c r="A985" s="62" t="str">
        <f t="shared" si="15"/>
        <v>Paraguay_Public spending on education, total (% of government expenditure)</v>
      </c>
      <c r="B985" t="s">
        <v>508</v>
      </c>
      <c r="C985" t="s">
        <v>128</v>
      </c>
      <c r="D985" t="s">
        <v>422</v>
      </c>
      <c r="E985" t="s">
        <v>423</v>
      </c>
      <c r="F985" t="s">
        <v>193</v>
      </c>
      <c r="G985" t="s">
        <v>193</v>
      </c>
      <c r="H985" t="s">
        <v>193</v>
      </c>
      <c r="I985">
        <v>8.81332949817056</v>
      </c>
      <c r="J985">
        <v>11.2470388082431</v>
      </c>
      <c r="K985">
        <v>9.69716368458718</v>
      </c>
      <c r="L985">
        <v>11.3855491556712</v>
      </c>
      <c r="M985">
        <v>10.7517971025083</v>
      </c>
      <c r="N985" t="s">
        <v>193</v>
      </c>
      <c r="O985" t="s">
        <v>193</v>
      </c>
      <c r="P985" t="s">
        <v>193</v>
      </c>
    </row>
    <row r="986" spans="1:16" ht="12.75">
      <c r="A986" s="62" t="str">
        <f t="shared" si="15"/>
        <v>Paraguay_Health expenditure, public (% of total health expenditure)</v>
      </c>
      <c r="B986" t="s">
        <v>508</v>
      </c>
      <c r="C986" t="s">
        <v>128</v>
      </c>
      <c r="D986" t="s">
        <v>424</v>
      </c>
      <c r="E986" t="s">
        <v>425</v>
      </c>
      <c r="F986" t="s">
        <v>193</v>
      </c>
      <c r="G986" t="s">
        <v>193</v>
      </c>
      <c r="H986" t="s">
        <v>193</v>
      </c>
      <c r="I986" t="s">
        <v>193</v>
      </c>
      <c r="J986">
        <v>40.2</v>
      </c>
      <c r="K986">
        <v>35.2</v>
      </c>
      <c r="L986">
        <v>33.3</v>
      </c>
      <c r="M986">
        <v>31.5</v>
      </c>
      <c r="N986">
        <v>33.7</v>
      </c>
      <c r="O986" t="s">
        <v>193</v>
      </c>
      <c r="P986" t="s">
        <v>193</v>
      </c>
    </row>
    <row r="987" spans="1:16" ht="12.75">
      <c r="A987" s="62" t="str">
        <f t="shared" si="15"/>
        <v>Paraguay_Health expenditure, public (% of GDP)</v>
      </c>
      <c r="B987" t="s">
        <v>508</v>
      </c>
      <c r="C987" t="s">
        <v>128</v>
      </c>
      <c r="D987" t="s">
        <v>426</v>
      </c>
      <c r="E987" t="s">
        <v>427</v>
      </c>
      <c r="F987" t="s">
        <v>193</v>
      </c>
      <c r="G987" t="s">
        <v>193</v>
      </c>
      <c r="H987" t="s">
        <v>193</v>
      </c>
      <c r="I987" t="s">
        <v>193</v>
      </c>
      <c r="J987">
        <v>3.3768</v>
      </c>
      <c r="K987">
        <v>2.9568</v>
      </c>
      <c r="L987">
        <v>2.7639</v>
      </c>
      <c r="M987">
        <v>2.2995</v>
      </c>
      <c r="N987">
        <v>2.5949</v>
      </c>
      <c r="O987" t="s">
        <v>193</v>
      </c>
      <c r="P987" t="s">
        <v>193</v>
      </c>
    </row>
    <row r="988" spans="1:16" ht="12.75">
      <c r="A988" s="62" t="str">
        <f t="shared" si="15"/>
        <v>Paraguay_Health expenditure, total (% of GDP)</v>
      </c>
      <c r="B988" t="s">
        <v>508</v>
      </c>
      <c r="C988" t="s">
        <v>128</v>
      </c>
      <c r="D988" t="s">
        <v>428</v>
      </c>
      <c r="E988" t="s">
        <v>429</v>
      </c>
      <c r="F988" t="s">
        <v>193</v>
      </c>
      <c r="G988" t="s">
        <v>193</v>
      </c>
      <c r="H988" t="s">
        <v>193</v>
      </c>
      <c r="I988" t="s">
        <v>193</v>
      </c>
      <c r="J988">
        <v>8.4</v>
      </c>
      <c r="K988">
        <v>8.4</v>
      </c>
      <c r="L988">
        <v>8.3</v>
      </c>
      <c r="M988">
        <v>7.3</v>
      </c>
      <c r="N988">
        <v>7.7</v>
      </c>
      <c r="O988" t="s">
        <v>193</v>
      </c>
      <c r="P988" t="s">
        <v>193</v>
      </c>
    </row>
    <row r="989" spans="1:16" ht="12.75">
      <c r="A989" s="62" t="str">
        <f t="shared" si="15"/>
        <v>Paraguay_GDP (current LCU)</v>
      </c>
      <c r="B989" t="s">
        <v>508</v>
      </c>
      <c r="C989" t="s">
        <v>128</v>
      </c>
      <c r="D989" t="s">
        <v>430</v>
      </c>
      <c r="E989" t="s">
        <v>431</v>
      </c>
      <c r="F989">
        <v>17985500610560</v>
      </c>
      <c r="G989">
        <v>19322537771008</v>
      </c>
      <c r="H989">
        <v>21580612632576</v>
      </c>
      <c r="I989">
        <v>22744597004288</v>
      </c>
      <c r="J989">
        <v>24653261176832</v>
      </c>
      <c r="K989">
        <v>26465666072576</v>
      </c>
      <c r="L989">
        <v>28841642819584</v>
      </c>
      <c r="M989">
        <v>35665643307008</v>
      </c>
      <c r="N989">
        <v>41521881546752</v>
      </c>
      <c r="O989">
        <v>45270159065088</v>
      </c>
      <c r="P989">
        <v>51340273254400</v>
      </c>
    </row>
    <row r="990" spans="1:16" ht="12.75">
      <c r="A990" s="62" t="str">
        <f t="shared" si="15"/>
        <v>Paraguay_GDP (current US$)</v>
      </c>
      <c r="B990" t="s">
        <v>508</v>
      </c>
      <c r="C990" t="s">
        <v>128</v>
      </c>
      <c r="D990" t="s">
        <v>432</v>
      </c>
      <c r="E990" t="s">
        <v>433</v>
      </c>
      <c r="F990">
        <v>8743558144</v>
      </c>
      <c r="G990">
        <v>8871688192</v>
      </c>
      <c r="H990">
        <v>7916585472</v>
      </c>
      <c r="I990">
        <v>7292038656</v>
      </c>
      <c r="J990">
        <v>7071265792</v>
      </c>
      <c r="K990">
        <v>6445765120</v>
      </c>
      <c r="L990">
        <v>4844440576</v>
      </c>
      <c r="M990">
        <v>4608189440</v>
      </c>
      <c r="N990">
        <v>6949760512</v>
      </c>
      <c r="O990">
        <v>7327689728</v>
      </c>
      <c r="P990">
        <v>9110214656</v>
      </c>
    </row>
    <row r="991" spans="1:16" ht="12.75">
      <c r="A991" s="62" t="str">
        <f t="shared" si="15"/>
        <v>Paraguay_GDP per capita, PPP (current international $)</v>
      </c>
      <c r="B991" t="s">
        <v>508</v>
      </c>
      <c r="C991" t="s">
        <v>128</v>
      </c>
      <c r="D991" t="s">
        <v>434</v>
      </c>
      <c r="E991" t="s">
        <v>435</v>
      </c>
      <c r="F991">
        <v>4316.20958324805</v>
      </c>
      <c r="G991">
        <v>4421.12630146292</v>
      </c>
      <c r="H991">
        <v>4400.34577807647</v>
      </c>
      <c r="I991">
        <v>4305.92678352093</v>
      </c>
      <c r="J991">
        <v>4165.31274669712</v>
      </c>
      <c r="K991">
        <v>4265.81220708528</v>
      </c>
      <c r="L991">
        <v>4252.29487733886</v>
      </c>
      <c r="M991">
        <v>4417.6680006572</v>
      </c>
      <c r="N991">
        <v>4630.8202136688</v>
      </c>
      <c r="O991">
        <v>4818.80403213929</v>
      </c>
      <c r="P991">
        <v>5053.64775620352</v>
      </c>
    </row>
    <row r="992" spans="1:16" ht="12.75">
      <c r="A992" s="62" t="str">
        <f t="shared" si="15"/>
        <v>Paraguay_GDP per capita, PPP (constant 2000 international $)</v>
      </c>
      <c r="B992" t="s">
        <v>508</v>
      </c>
      <c r="C992" t="s">
        <v>128</v>
      </c>
      <c r="D992" t="s">
        <v>436</v>
      </c>
      <c r="E992" t="s">
        <v>437</v>
      </c>
      <c r="F992">
        <v>4599.29345202732</v>
      </c>
      <c r="G992">
        <v>4633.69224162007</v>
      </c>
      <c r="H992">
        <v>4561.23552168689</v>
      </c>
      <c r="I992">
        <v>4399.78975802345</v>
      </c>
      <c r="J992">
        <v>4165.31274669712</v>
      </c>
      <c r="K992">
        <v>4165.47394109529</v>
      </c>
      <c r="L992">
        <v>4080.85737937975</v>
      </c>
      <c r="M992">
        <v>4154.9992846097</v>
      </c>
      <c r="N992">
        <v>4244.11254000898</v>
      </c>
      <c r="O992">
        <v>4287.0806172282</v>
      </c>
      <c r="P992">
        <v>4368.10659535316</v>
      </c>
    </row>
    <row r="993" spans="1:16" ht="12.75">
      <c r="A993" s="62" t="str">
        <f t="shared" si="15"/>
        <v>Paraguay_GINI index</v>
      </c>
      <c r="B993" t="s">
        <v>508</v>
      </c>
      <c r="C993" t="s">
        <v>128</v>
      </c>
      <c r="D993" t="s">
        <v>438</v>
      </c>
      <c r="E993" t="s">
        <v>439</v>
      </c>
      <c r="F993" t="s">
        <v>193</v>
      </c>
      <c r="G993" t="s">
        <v>193</v>
      </c>
      <c r="H993">
        <v>56.52</v>
      </c>
      <c r="I993">
        <v>56.85</v>
      </c>
      <c r="J993" t="s">
        <v>193</v>
      </c>
      <c r="K993" t="s">
        <v>193</v>
      </c>
      <c r="L993">
        <v>57.98</v>
      </c>
      <c r="M993">
        <v>58.36</v>
      </c>
      <c r="N993" t="s">
        <v>193</v>
      </c>
      <c r="O993" t="s">
        <v>193</v>
      </c>
      <c r="P993" t="s">
        <v>193</v>
      </c>
    </row>
    <row r="994" spans="1:16" ht="12.75">
      <c r="A994" s="62" t="str">
        <f t="shared" si="15"/>
        <v>Peru_Poverty headcount ratio at national poverty line (% of population)</v>
      </c>
      <c r="B994" t="s">
        <v>509</v>
      </c>
      <c r="C994" t="s">
        <v>254</v>
      </c>
      <c r="D994" t="s">
        <v>408</v>
      </c>
      <c r="E994" t="s">
        <v>409</v>
      </c>
      <c r="F994" t="s">
        <v>193</v>
      </c>
      <c r="G994" t="s">
        <v>193</v>
      </c>
      <c r="H994" t="s">
        <v>193</v>
      </c>
      <c r="I994" t="s">
        <v>193</v>
      </c>
      <c r="J994" t="s">
        <v>193</v>
      </c>
      <c r="K994">
        <v>54.3</v>
      </c>
      <c r="L994" t="s">
        <v>193</v>
      </c>
      <c r="M994" t="s">
        <v>193</v>
      </c>
      <c r="N994">
        <v>53.1</v>
      </c>
      <c r="O994" t="s">
        <v>193</v>
      </c>
      <c r="P994" t="s">
        <v>193</v>
      </c>
    </row>
    <row r="995" spans="1:16" ht="12.75">
      <c r="A995" s="62" t="str">
        <f aca="true" t="shared" si="16" ref="A995:A1058">C995&amp;"_"&amp;E995</f>
        <v>Peru_Poverty headcount ratio at $2 a day (PPP) (% of population)</v>
      </c>
      <c r="B995" t="s">
        <v>509</v>
      </c>
      <c r="C995" t="s">
        <v>254</v>
      </c>
      <c r="D995" t="s">
        <v>410</v>
      </c>
      <c r="E995" t="s">
        <v>411</v>
      </c>
      <c r="F995">
        <v>28.38</v>
      </c>
      <c r="G995" t="s">
        <v>193</v>
      </c>
      <c r="H995" t="s">
        <v>193</v>
      </c>
      <c r="I995" t="s">
        <v>193</v>
      </c>
      <c r="J995">
        <v>37.71</v>
      </c>
      <c r="K995" t="s">
        <v>193</v>
      </c>
      <c r="L995">
        <v>32.1</v>
      </c>
      <c r="M995">
        <v>30.63</v>
      </c>
      <c r="N995" t="s">
        <v>193</v>
      </c>
      <c r="O995" t="s">
        <v>193</v>
      </c>
      <c r="P995" t="s">
        <v>193</v>
      </c>
    </row>
    <row r="996" spans="1:16" ht="12.75">
      <c r="A996" s="62" t="str">
        <f t="shared" si="16"/>
        <v>Peru_Poverty headcount ratio at $1 a day (PPP) (% of population)</v>
      </c>
      <c r="B996" t="s">
        <v>509</v>
      </c>
      <c r="C996" t="s">
        <v>254</v>
      </c>
      <c r="D996" t="s">
        <v>412</v>
      </c>
      <c r="E996" t="s">
        <v>413</v>
      </c>
      <c r="F996">
        <v>8.88</v>
      </c>
      <c r="G996" t="s">
        <v>193</v>
      </c>
      <c r="H996" t="s">
        <v>193</v>
      </c>
      <c r="I996" t="s">
        <v>193</v>
      </c>
      <c r="J996">
        <v>18.07</v>
      </c>
      <c r="K996" t="s">
        <v>193</v>
      </c>
      <c r="L996">
        <v>12.83</v>
      </c>
      <c r="M996">
        <v>10.53</v>
      </c>
      <c r="N996" t="s">
        <v>193</v>
      </c>
      <c r="O996" t="s">
        <v>193</v>
      </c>
      <c r="P996" t="s">
        <v>193</v>
      </c>
    </row>
    <row r="997" spans="1:16" ht="12.75">
      <c r="A997" s="62" t="str">
        <f t="shared" si="16"/>
        <v>Peru_Poverty gap at $1 a day (PPP) (%)</v>
      </c>
      <c r="B997" t="s">
        <v>509</v>
      </c>
      <c r="C997" t="s">
        <v>254</v>
      </c>
      <c r="D997" t="s">
        <v>414</v>
      </c>
      <c r="E997" t="s">
        <v>415</v>
      </c>
      <c r="F997">
        <v>3.02</v>
      </c>
      <c r="G997" t="s">
        <v>193</v>
      </c>
      <c r="H997" t="s">
        <v>193</v>
      </c>
      <c r="I997" t="s">
        <v>193</v>
      </c>
      <c r="J997">
        <v>9.14</v>
      </c>
      <c r="K997" t="s">
        <v>193</v>
      </c>
      <c r="L997">
        <v>4.36</v>
      </c>
      <c r="M997">
        <v>2.87</v>
      </c>
      <c r="N997" t="s">
        <v>193</v>
      </c>
      <c r="O997" t="s">
        <v>193</v>
      </c>
      <c r="P997" t="s">
        <v>193</v>
      </c>
    </row>
    <row r="998" spans="1:16" ht="12.75">
      <c r="A998" s="62" t="str">
        <f t="shared" si="16"/>
        <v>Peru_Poverty gap at $2 a day (PPP) (%)</v>
      </c>
      <c r="B998" t="s">
        <v>509</v>
      </c>
      <c r="C998" t="s">
        <v>254</v>
      </c>
      <c r="D998" t="s">
        <v>416</v>
      </c>
      <c r="E998" t="s">
        <v>417</v>
      </c>
      <c r="F998">
        <v>10.76</v>
      </c>
      <c r="G998" t="s">
        <v>193</v>
      </c>
      <c r="H998" t="s">
        <v>193</v>
      </c>
      <c r="I998" t="s">
        <v>193</v>
      </c>
      <c r="J998">
        <v>18.5</v>
      </c>
      <c r="K998" t="s">
        <v>193</v>
      </c>
      <c r="L998">
        <v>13.54</v>
      </c>
      <c r="M998">
        <v>11.85</v>
      </c>
      <c r="N998" t="s">
        <v>193</v>
      </c>
      <c r="O998" t="s">
        <v>193</v>
      </c>
      <c r="P998" t="s">
        <v>193</v>
      </c>
    </row>
    <row r="999" spans="1:16" ht="12.75">
      <c r="A999" s="62" t="str">
        <f t="shared" si="16"/>
        <v>Peru_Population, total</v>
      </c>
      <c r="B999" t="s">
        <v>509</v>
      </c>
      <c r="C999" t="s">
        <v>254</v>
      </c>
      <c r="D999" t="s">
        <v>418</v>
      </c>
      <c r="E999" t="s">
        <v>419</v>
      </c>
      <c r="F999">
        <v>24258707</v>
      </c>
      <c r="G999">
        <v>24684870</v>
      </c>
      <c r="H999">
        <v>25112116</v>
      </c>
      <c r="I999">
        <v>25535638</v>
      </c>
      <c r="J999">
        <v>25952191</v>
      </c>
      <c r="K999">
        <v>26360597</v>
      </c>
      <c r="L999">
        <v>26762651</v>
      </c>
      <c r="M999">
        <v>27161666</v>
      </c>
      <c r="N999">
        <v>27562391</v>
      </c>
      <c r="O999">
        <v>27968244</v>
      </c>
      <c r="P999">
        <v>28368758.7379153</v>
      </c>
    </row>
    <row r="1000" spans="1:16" ht="12.75">
      <c r="A1000" s="62" t="str">
        <f t="shared" si="16"/>
        <v>Peru_Public spending on education, total (% of GDP)</v>
      </c>
      <c r="B1000" t="s">
        <v>509</v>
      </c>
      <c r="C1000" t="s">
        <v>254</v>
      </c>
      <c r="D1000" t="s">
        <v>420</v>
      </c>
      <c r="E1000" t="s">
        <v>421</v>
      </c>
      <c r="F1000" t="s">
        <v>193</v>
      </c>
      <c r="G1000" t="s">
        <v>193</v>
      </c>
      <c r="H1000" t="s">
        <v>193</v>
      </c>
      <c r="I1000">
        <v>3.36174002286133</v>
      </c>
      <c r="J1000" t="s">
        <v>193</v>
      </c>
      <c r="K1000">
        <v>2.94379921394224</v>
      </c>
      <c r="L1000">
        <v>2.98655619723954</v>
      </c>
      <c r="M1000">
        <v>2.83842715708895</v>
      </c>
      <c r="N1000">
        <v>2.8780000460902</v>
      </c>
      <c r="O1000">
        <v>2.38853418666102</v>
      </c>
      <c r="P1000" t="s">
        <v>193</v>
      </c>
    </row>
    <row r="1001" spans="1:16" ht="12.75">
      <c r="A1001" s="62" t="str">
        <f t="shared" si="16"/>
        <v>Peru_Public spending on education, total (% of government expenditure)</v>
      </c>
      <c r="B1001" t="s">
        <v>509</v>
      </c>
      <c r="C1001" t="s">
        <v>254</v>
      </c>
      <c r="D1001" t="s">
        <v>422</v>
      </c>
      <c r="E1001" t="s">
        <v>423</v>
      </c>
      <c r="F1001" t="s">
        <v>193</v>
      </c>
      <c r="G1001" t="s">
        <v>193</v>
      </c>
      <c r="H1001" t="s">
        <v>193</v>
      </c>
      <c r="I1001">
        <v>21.104910882045</v>
      </c>
      <c r="J1001" t="s">
        <v>193</v>
      </c>
      <c r="K1001">
        <v>23.5011122430733</v>
      </c>
      <c r="L1001">
        <v>17.14506781075</v>
      </c>
      <c r="M1001" t="s">
        <v>193</v>
      </c>
      <c r="N1001">
        <v>16.969624493783</v>
      </c>
      <c r="O1001">
        <v>13.7003768960056</v>
      </c>
      <c r="P1001" t="s">
        <v>193</v>
      </c>
    </row>
    <row r="1002" spans="1:16" ht="12.75">
      <c r="A1002" s="62" t="str">
        <f t="shared" si="16"/>
        <v>Peru_Health expenditure, public (% of total health expenditure)</v>
      </c>
      <c r="B1002" t="s">
        <v>509</v>
      </c>
      <c r="C1002" t="s">
        <v>254</v>
      </c>
      <c r="D1002" t="s">
        <v>424</v>
      </c>
      <c r="E1002" t="s">
        <v>425</v>
      </c>
      <c r="F1002" t="s">
        <v>193</v>
      </c>
      <c r="G1002" t="s">
        <v>193</v>
      </c>
      <c r="H1002" t="s">
        <v>193</v>
      </c>
      <c r="I1002" t="s">
        <v>193</v>
      </c>
      <c r="J1002">
        <v>53</v>
      </c>
      <c r="K1002">
        <v>54.7</v>
      </c>
      <c r="L1002">
        <v>51.3</v>
      </c>
      <c r="M1002">
        <v>46.7</v>
      </c>
      <c r="N1002">
        <v>46.9</v>
      </c>
      <c r="O1002" t="s">
        <v>193</v>
      </c>
      <c r="P1002" t="s">
        <v>193</v>
      </c>
    </row>
    <row r="1003" spans="1:16" ht="12.75">
      <c r="A1003" s="62" t="str">
        <f t="shared" si="16"/>
        <v>Peru_Health expenditure, public (% of GDP)</v>
      </c>
      <c r="B1003" t="s">
        <v>509</v>
      </c>
      <c r="C1003" t="s">
        <v>254</v>
      </c>
      <c r="D1003" t="s">
        <v>426</v>
      </c>
      <c r="E1003" t="s">
        <v>427</v>
      </c>
      <c r="F1003" t="s">
        <v>193</v>
      </c>
      <c r="G1003" t="s">
        <v>193</v>
      </c>
      <c r="H1003" t="s">
        <v>193</v>
      </c>
      <c r="I1003" t="s">
        <v>193</v>
      </c>
      <c r="J1003">
        <v>2.491</v>
      </c>
      <c r="K1003">
        <v>2.6803</v>
      </c>
      <c r="L1003">
        <v>2.3598</v>
      </c>
      <c r="M1003">
        <v>1.9614</v>
      </c>
      <c r="N1003">
        <v>1.9229</v>
      </c>
      <c r="O1003" t="s">
        <v>193</v>
      </c>
      <c r="P1003" t="s">
        <v>193</v>
      </c>
    </row>
    <row r="1004" spans="1:16" ht="12.75">
      <c r="A1004" s="62" t="str">
        <f t="shared" si="16"/>
        <v>Peru_Health expenditure, total (% of GDP)</v>
      </c>
      <c r="B1004" t="s">
        <v>509</v>
      </c>
      <c r="C1004" t="s">
        <v>254</v>
      </c>
      <c r="D1004" t="s">
        <v>428</v>
      </c>
      <c r="E1004" t="s">
        <v>429</v>
      </c>
      <c r="F1004" t="s">
        <v>193</v>
      </c>
      <c r="G1004" t="s">
        <v>193</v>
      </c>
      <c r="H1004" t="s">
        <v>193</v>
      </c>
      <c r="I1004" t="s">
        <v>193</v>
      </c>
      <c r="J1004">
        <v>4.7</v>
      </c>
      <c r="K1004">
        <v>4.9</v>
      </c>
      <c r="L1004">
        <v>4.6</v>
      </c>
      <c r="M1004">
        <v>4.2</v>
      </c>
      <c r="N1004">
        <v>4.1</v>
      </c>
      <c r="O1004" t="s">
        <v>193</v>
      </c>
      <c r="P1004" t="s">
        <v>193</v>
      </c>
    </row>
    <row r="1005" spans="1:16" ht="12.75">
      <c r="A1005" s="62" t="str">
        <f t="shared" si="16"/>
        <v>Peru_GDP (current LCU)</v>
      </c>
      <c r="B1005" t="s">
        <v>509</v>
      </c>
      <c r="C1005" t="s">
        <v>254</v>
      </c>
      <c r="D1005" t="s">
        <v>430</v>
      </c>
      <c r="E1005" t="s">
        <v>431</v>
      </c>
      <c r="F1005">
        <v>137080840192</v>
      </c>
      <c r="G1005">
        <v>157532864512</v>
      </c>
      <c r="H1005">
        <v>166282428416</v>
      </c>
      <c r="I1005">
        <v>174421573632</v>
      </c>
      <c r="J1005">
        <v>186141065216</v>
      </c>
      <c r="K1005">
        <v>189206446080</v>
      </c>
      <c r="L1005">
        <v>200648441856</v>
      </c>
      <c r="M1005">
        <v>213938290688</v>
      </c>
      <c r="N1005">
        <v>237768900608</v>
      </c>
      <c r="O1005">
        <v>261606490112</v>
      </c>
      <c r="P1005">
        <v>305344184320</v>
      </c>
    </row>
    <row r="1006" spans="1:16" ht="12.75">
      <c r="A1006" s="62" t="str">
        <f t="shared" si="16"/>
        <v>Peru_GDP (current US$)</v>
      </c>
      <c r="B1006" t="s">
        <v>509</v>
      </c>
      <c r="C1006" t="s">
        <v>254</v>
      </c>
      <c r="D1006" t="s">
        <v>432</v>
      </c>
      <c r="E1006" t="s">
        <v>433</v>
      </c>
      <c r="F1006">
        <v>55876100096</v>
      </c>
      <c r="G1006">
        <v>59222880256</v>
      </c>
      <c r="H1006">
        <v>56751681536</v>
      </c>
      <c r="I1006">
        <v>51509514240</v>
      </c>
      <c r="J1006">
        <v>53290389504</v>
      </c>
      <c r="K1006">
        <v>53933973504</v>
      </c>
      <c r="L1006">
        <v>57056284672</v>
      </c>
      <c r="M1006">
        <v>61494304768</v>
      </c>
      <c r="N1006">
        <v>69686083584</v>
      </c>
      <c r="O1006">
        <v>79370903552</v>
      </c>
      <c r="P1006">
        <v>93269041152</v>
      </c>
    </row>
    <row r="1007" spans="1:16" ht="12.75">
      <c r="A1007" s="62" t="str">
        <f t="shared" si="16"/>
        <v>Peru_GDP per capita, PPP (current international $)</v>
      </c>
      <c r="B1007" t="s">
        <v>509</v>
      </c>
      <c r="C1007" t="s">
        <v>254</v>
      </c>
      <c r="D1007" t="s">
        <v>434</v>
      </c>
      <c r="E1007" t="s">
        <v>435</v>
      </c>
      <c r="F1007">
        <v>4299.81828680737</v>
      </c>
      <c r="G1007">
        <v>4591.05918067401</v>
      </c>
      <c r="H1007">
        <v>4533.06666210157</v>
      </c>
      <c r="I1007">
        <v>4563.63719847228</v>
      </c>
      <c r="J1007">
        <v>4723.65229988515</v>
      </c>
      <c r="K1007">
        <v>4772.59503191383</v>
      </c>
      <c r="L1007">
        <v>5029.80784938226</v>
      </c>
      <c r="M1007">
        <v>5254.03625177162</v>
      </c>
      <c r="N1007">
        <v>5590.83466568786</v>
      </c>
      <c r="O1007">
        <v>6041.97841053303</v>
      </c>
      <c r="P1007">
        <v>6623.57432235905</v>
      </c>
    </row>
    <row r="1008" spans="1:16" ht="12.75">
      <c r="A1008" s="62" t="str">
        <f t="shared" si="16"/>
        <v>Peru_GDP per capita, PPP (constant 2000 international $)</v>
      </c>
      <c r="B1008" t="s">
        <v>509</v>
      </c>
      <c r="C1008" t="s">
        <v>254</v>
      </c>
      <c r="D1008" t="s">
        <v>436</v>
      </c>
      <c r="E1008" t="s">
        <v>437</v>
      </c>
      <c r="F1008">
        <v>4581.82711242174</v>
      </c>
      <c r="G1008">
        <v>4811.79542400055</v>
      </c>
      <c r="H1008">
        <v>4698.80907640642</v>
      </c>
      <c r="I1008">
        <v>4663.11788719144</v>
      </c>
      <c r="J1008">
        <v>4723.65229988515</v>
      </c>
      <c r="K1008">
        <v>4660.33647796734</v>
      </c>
      <c r="L1008">
        <v>4827.02377683157</v>
      </c>
      <c r="M1008">
        <v>4941.63818199485</v>
      </c>
      <c r="N1008">
        <v>5123.95869822897</v>
      </c>
      <c r="O1008">
        <v>5375.28572665532</v>
      </c>
      <c r="P1008">
        <v>5725.06832253847</v>
      </c>
    </row>
    <row r="1009" spans="1:16" ht="12.75">
      <c r="A1009" s="62" t="str">
        <f t="shared" si="16"/>
        <v>Peru_GINI index</v>
      </c>
      <c r="B1009" t="s">
        <v>509</v>
      </c>
      <c r="C1009" t="s">
        <v>254</v>
      </c>
      <c r="D1009" t="s">
        <v>438</v>
      </c>
      <c r="E1009" t="s">
        <v>439</v>
      </c>
      <c r="F1009">
        <v>46.24</v>
      </c>
      <c r="G1009" t="s">
        <v>193</v>
      </c>
      <c r="H1009" t="s">
        <v>193</v>
      </c>
      <c r="I1009" t="s">
        <v>193</v>
      </c>
      <c r="J1009">
        <v>49.82</v>
      </c>
      <c r="K1009" t="s">
        <v>193</v>
      </c>
      <c r="L1009">
        <v>54.65</v>
      </c>
      <c r="M1009">
        <v>52.02</v>
      </c>
      <c r="N1009" t="s">
        <v>193</v>
      </c>
      <c r="O1009" t="s">
        <v>193</v>
      </c>
      <c r="P1009" t="s">
        <v>193</v>
      </c>
    </row>
    <row r="1010" spans="1:16" ht="12.75">
      <c r="A1010" s="62" t="str">
        <f t="shared" si="16"/>
        <v>Philippines_Poverty headcount ratio at national poverty line (% of population)</v>
      </c>
      <c r="B1010" t="s">
        <v>510</v>
      </c>
      <c r="C1010" t="s">
        <v>230</v>
      </c>
      <c r="D1010" t="s">
        <v>408</v>
      </c>
      <c r="E1010" t="s">
        <v>409</v>
      </c>
      <c r="F1010" t="s">
        <v>193</v>
      </c>
      <c r="G1010">
        <v>36.8</v>
      </c>
      <c r="H1010" t="s">
        <v>193</v>
      </c>
      <c r="I1010" t="s">
        <v>193</v>
      </c>
      <c r="J1010" t="s">
        <v>193</v>
      </c>
      <c r="K1010" t="s">
        <v>193</v>
      </c>
      <c r="L1010" t="s">
        <v>193</v>
      </c>
      <c r="M1010" t="s">
        <v>193</v>
      </c>
      <c r="N1010" t="s">
        <v>193</v>
      </c>
      <c r="O1010" t="s">
        <v>193</v>
      </c>
      <c r="P1010" t="s">
        <v>193</v>
      </c>
    </row>
    <row r="1011" spans="1:16" ht="12.75">
      <c r="A1011" s="62" t="str">
        <f t="shared" si="16"/>
        <v>Philippines_Poverty headcount ratio at $2 a day (PPP) (% of population)</v>
      </c>
      <c r="B1011" t="s">
        <v>510</v>
      </c>
      <c r="C1011" t="s">
        <v>230</v>
      </c>
      <c r="D1011" t="s">
        <v>410</v>
      </c>
      <c r="E1011" t="s">
        <v>411</v>
      </c>
      <c r="F1011" t="s">
        <v>193</v>
      </c>
      <c r="G1011">
        <v>45.05</v>
      </c>
      <c r="H1011" t="s">
        <v>193</v>
      </c>
      <c r="I1011" t="s">
        <v>193</v>
      </c>
      <c r="J1011">
        <v>47.48</v>
      </c>
      <c r="K1011" t="s">
        <v>193</v>
      </c>
      <c r="L1011" t="s">
        <v>193</v>
      </c>
      <c r="M1011">
        <v>42.96</v>
      </c>
      <c r="N1011" t="s">
        <v>193</v>
      </c>
      <c r="O1011" t="s">
        <v>193</v>
      </c>
      <c r="P1011" t="s">
        <v>193</v>
      </c>
    </row>
    <row r="1012" spans="1:16" ht="12.75">
      <c r="A1012" s="62" t="str">
        <f t="shared" si="16"/>
        <v>Philippines_Poverty headcount ratio at $1 a day (PPP) (% of population)</v>
      </c>
      <c r="B1012" t="s">
        <v>510</v>
      </c>
      <c r="C1012" t="s">
        <v>230</v>
      </c>
      <c r="D1012" t="s">
        <v>412</v>
      </c>
      <c r="E1012" t="s">
        <v>413</v>
      </c>
      <c r="F1012" t="s">
        <v>193</v>
      </c>
      <c r="G1012">
        <v>14.4</v>
      </c>
      <c r="H1012" t="s">
        <v>193</v>
      </c>
      <c r="I1012" t="s">
        <v>193</v>
      </c>
      <c r="J1012">
        <v>15.48</v>
      </c>
      <c r="K1012" t="s">
        <v>193</v>
      </c>
      <c r="L1012" t="s">
        <v>193</v>
      </c>
      <c r="M1012">
        <v>14.78</v>
      </c>
      <c r="N1012" t="s">
        <v>193</v>
      </c>
      <c r="O1012" t="s">
        <v>193</v>
      </c>
      <c r="P1012" t="s">
        <v>193</v>
      </c>
    </row>
    <row r="1013" spans="1:16" ht="12.75">
      <c r="A1013" s="62" t="str">
        <f t="shared" si="16"/>
        <v>Philippines_Poverty gap at $1 a day (PPP) (%)</v>
      </c>
      <c r="B1013" t="s">
        <v>510</v>
      </c>
      <c r="C1013" t="s">
        <v>230</v>
      </c>
      <c r="D1013" t="s">
        <v>414</v>
      </c>
      <c r="E1013" t="s">
        <v>415</v>
      </c>
      <c r="F1013" t="s">
        <v>193</v>
      </c>
      <c r="G1013">
        <v>2.85</v>
      </c>
      <c r="H1013" t="s">
        <v>193</v>
      </c>
      <c r="I1013" t="s">
        <v>193</v>
      </c>
      <c r="J1013">
        <v>2.98</v>
      </c>
      <c r="K1013" t="s">
        <v>193</v>
      </c>
      <c r="L1013" t="s">
        <v>193</v>
      </c>
      <c r="M1013">
        <v>2.9</v>
      </c>
      <c r="N1013" t="s">
        <v>193</v>
      </c>
      <c r="O1013" t="s">
        <v>193</v>
      </c>
      <c r="P1013" t="s">
        <v>193</v>
      </c>
    </row>
    <row r="1014" spans="1:16" ht="12.75">
      <c r="A1014" s="62" t="str">
        <f t="shared" si="16"/>
        <v>Philippines_Poverty gap at $2 a day (PPP) (%)</v>
      </c>
      <c r="B1014" t="s">
        <v>510</v>
      </c>
      <c r="C1014" t="s">
        <v>230</v>
      </c>
      <c r="D1014" t="s">
        <v>416</v>
      </c>
      <c r="E1014" t="s">
        <v>417</v>
      </c>
      <c r="F1014" t="s">
        <v>193</v>
      </c>
      <c r="G1014">
        <v>16.45</v>
      </c>
      <c r="H1014" t="s">
        <v>193</v>
      </c>
      <c r="I1014" t="s">
        <v>193</v>
      </c>
      <c r="J1014">
        <v>17.81</v>
      </c>
      <c r="K1014" t="s">
        <v>193</v>
      </c>
      <c r="L1014" t="s">
        <v>193</v>
      </c>
      <c r="M1014">
        <v>16.32</v>
      </c>
      <c r="N1014" t="s">
        <v>193</v>
      </c>
      <c r="O1014" t="s">
        <v>193</v>
      </c>
      <c r="P1014" t="s">
        <v>193</v>
      </c>
    </row>
    <row r="1015" spans="1:16" ht="12.75">
      <c r="A1015" s="62" t="str">
        <f t="shared" si="16"/>
        <v>Philippines_Population, total</v>
      </c>
      <c r="B1015" t="s">
        <v>510</v>
      </c>
      <c r="C1015" t="s">
        <v>230</v>
      </c>
      <c r="D1015" t="s">
        <v>418</v>
      </c>
      <c r="E1015" t="s">
        <v>419</v>
      </c>
      <c r="F1015">
        <v>69871094</v>
      </c>
      <c r="G1015">
        <v>71345976</v>
      </c>
      <c r="H1015">
        <v>72819997</v>
      </c>
      <c r="I1015">
        <v>74293462</v>
      </c>
      <c r="J1015">
        <v>75766144</v>
      </c>
      <c r="K1015">
        <v>77237397</v>
      </c>
      <c r="L1015">
        <v>78705183</v>
      </c>
      <c r="M1015">
        <v>80166341</v>
      </c>
      <c r="N1015">
        <v>81617024</v>
      </c>
      <c r="O1015">
        <v>83054478</v>
      </c>
      <c r="P1015">
        <v>84589763.0930868</v>
      </c>
    </row>
    <row r="1016" spans="1:16" ht="12.75">
      <c r="A1016" s="62" t="str">
        <f t="shared" si="16"/>
        <v>Philippines_Public spending on education, total (% of GDP)</v>
      </c>
      <c r="B1016" t="s">
        <v>510</v>
      </c>
      <c r="C1016" t="s">
        <v>230</v>
      </c>
      <c r="D1016" t="s">
        <v>420</v>
      </c>
      <c r="E1016" t="s">
        <v>421</v>
      </c>
      <c r="F1016" t="s">
        <v>193</v>
      </c>
      <c r="G1016" t="s">
        <v>193</v>
      </c>
      <c r="H1016" t="s">
        <v>193</v>
      </c>
      <c r="I1016" t="s">
        <v>193</v>
      </c>
      <c r="J1016">
        <v>3.4877804725106</v>
      </c>
      <c r="K1016">
        <v>3.24108812215449</v>
      </c>
      <c r="L1016">
        <v>3.17436295547245</v>
      </c>
      <c r="M1016">
        <v>3.22560717404445</v>
      </c>
      <c r="N1016">
        <v>2.72444668921568</v>
      </c>
      <c r="O1016" t="s">
        <v>193</v>
      </c>
      <c r="P1016" t="s">
        <v>193</v>
      </c>
    </row>
    <row r="1017" spans="1:16" ht="12.75">
      <c r="A1017" s="62" t="str">
        <f t="shared" si="16"/>
        <v>Philippines_Public spending on education, total (% of government expenditure)</v>
      </c>
      <c r="B1017" t="s">
        <v>510</v>
      </c>
      <c r="C1017" t="s">
        <v>230</v>
      </c>
      <c r="D1017" t="s">
        <v>422</v>
      </c>
      <c r="E1017" t="s">
        <v>423</v>
      </c>
      <c r="F1017" t="s">
        <v>193</v>
      </c>
      <c r="G1017" t="s">
        <v>193</v>
      </c>
      <c r="H1017" t="s">
        <v>193</v>
      </c>
      <c r="I1017" t="s">
        <v>193</v>
      </c>
      <c r="J1017">
        <v>13.9476945216676</v>
      </c>
      <c r="K1017">
        <v>14.0303943729212</v>
      </c>
      <c r="L1017">
        <v>17.7925621925412</v>
      </c>
      <c r="M1017">
        <v>17.2191194354638</v>
      </c>
      <c r="N1017">
        <v>16.3505528521512</v>
      </c>
      <c r="O1017" t="s">
        <v>193</v>
      </c>
      <c r="P1017" t="s">
        <v>193</v>
      </c>
    </row>
    <row r="1018" spans="1:16" ht="12.75">
      <c r="A1018" s="62" t="str">
        <f t="shared" si="16"/>
        <v>Philippines_Health expenditure, public (% of total health expenditure)</v>
      </c>
      <c r="B1018" t="s">
        <v>510</v>
      </c>
      <c r="C1018" t="s">
        <v>230</v>
      </c>
      <c r="D1018" t="s">
        <v>424</v>
      </c>
      <c r="E1018" t="s">
        <v>425</v>
      </c>
      <c r="F1018" t="s">
        <v>193</v>
      </c>
      <c r="G1018" t="s">
        <v>193</v>
      </c>
      <c r="H1018" t="s">
        <v>193</v>
      </c>
      <c r="I1018" t="s">
        <v>193</v>
      </c>
      <c r="J1018">
        <v>47.6</v>
      </c>
      <c r="K1018">
        <v>44.2</v>
      </c>
      <c r="L1018">
        <v>40</v>
      </c>
      <c r="M1018">
        <v>40.7</v>
      </c>
      <c r="N1018">
        <v>39.8</v>
      </c>
      <c r="O1018" t="s">
        <v>193</v>
      </c>
      <c r="P1018" t="s">
        <v>193</v>
      </c>
    </row>
    <row r="1019" spans="1:16" ht="12.75">
      <c r="A1019" s="62" t="str">
        <f t="shared" si="16"/>
        <v>Philippines_Health expenditure, public (% of GDP)</v>
      </c>
      <c r="B1019" t="s">
        <v>510</v>
      </c>
      <c r="C1019" t="s">
        <v>230</v>
      </c>
      <c r="D1019" t="s">
        <v>426</v>
      </c>
      <c r="E1019" t="s">
        <v>427</v>
      </c>
      <c r="F1019" t="s">
        <v>193</v>
      </c>
      <c r="G1019" t="s">
        <v>193</v>
      </c>
      <c r="H1019" t="s">
        <v>193</v>
      </c>
      <c r="I1019" t="s">
        <v>193</v>
      </c>
      <c r="J1019">
        <v>1.666</v>
      </c>
      <c r="K1019">
        <v>1.4144</v>
      </c>
      <c r="L1019">
        <v>1.2</v>
      </c>
      <c r="M1019">
        <v>1.3838</v>
      </c>
      <c r="N1019">
        <v>1.3532</v>
      </c>
      <c r="O1019" t="s">
        <v>193</v>
      </c>
      <c r="P1019" t="s">
        <v>193</v>
      </c>
    </row>
    <row r="1020" spans="1:16" ht="12.75">
      <c r="A1020" s="62" t="str">
        <f t="shared" si="16"/>
        <v>Philippines_Health expenditure, total (% of GDP)</v>
      </c>
      <c r="B1020" t="s">
        <v>510</v>
      </c>
      <c r="C1020" t="s">
        <v>230</v>
      </c>
      <c r="D1020" t="s">
        <v>428</v>
      </c>
      <c r="E1020" t="s">
        <v>429</v>
      </c>
      <c r="F1020" t="s">
        <v>193</v>
      </c>
      <c r="G1020" t="s">
        <v>193</v>
      </c>
      <c r="H1020" t="s">
        <v>193</v>
      </c>
      <c r="I1020" t="s">
        <v>193</v>
      </c>
      <c r="J1020">
        <v>3.5</v>
      </c>
      <c r="K1020">
        <v>3.2</v>
      </c>
      <c r="L1020">
        <v>3</v>
      </c>
      <c r="M1020">
        <v>3.4</v>
      </c>
      <c r="N1020">
        <v>3.4</v>
      </c>
      <c r="O1020" t="s">
        <v>193</v>
      </c>
      <c r="P1020" t="s">
        <v>193</v>
      </c>
    </row>
    <row r="1021" spans="1:16" ht="12.75">
      <c r="A1021" s="62" t="str">
        <f t="shared" si="16"/>
        <v>Philippines_GDP (current LCU)</v>
      </c>
      <c r="B1021" t="s">
        <v>510</v>
      </c>
      <c r="C1021" t="s">
        <v>230</v>
      </c>
      <c r="D1021" t="s">
        <v>430</v>
      </c>
      <c r="E1021" t="s">
        <v>431</v>
      </c>
      <c r="F1021">
        <v>2171922022400</v>
      </c>
      <c r="G1021">
        <v>2426743029760</v>
      </c>
      <c r="H1021">
        <v>2665059975168</v>
      </c>
      <c r="I1021">
        <v>2976904118272</v>
      </c>
      <c r="J1021">
        <v>3354727022592</v>
      </c>
      <c r="K1021">
        <v>3631473754112</v>
      </c>
      <c r="L1021">
        <v>3963872083968</v>
      </c>
      <c r="M1021">
        <v>4316403073024</v>
      </c>
      <c r="N1021">
        <v>4858834845696</v>
      </c>
      <c r="O1021">
        <v>5418839965696</v>
      </c>
      <c r="P1021">
        <v>6000250191872</v>
      </c>
    </row>
    <row r="1022" spans="1:16" ht="12.75">
      <c r="A1022" s="62" t="str">
        <f t="shared" si="16"/>
        <v>Philippines_GDP (current US$)</v>
      </c>
      <c r="B1022" t="s">
        <v>510</v>
      </c>
      <c r="C1022" t="s">
        <v>230</v>
      </c>
      <c r="D1022" t="s">
        <v>432</v>
      </c>
      <c r="E1022" t="s">
        <v>433</v>
      </c>
      <c r="F1022">
        <v>82848194560</v>
      </c>
      <c r="G1022">
        <v>82344378368</v>
      </c>
      <c r="H1022">
        <v>65171542016</v>
      </c>
      <c r="I1022">
        <v>76157075456</v>
      </c>
      <c r="J1022">
        <v>75912544256</v>
      </c>
      <c r="K1022">
        <v>71215636480</v>
      </c>
      <c r="L1022">
        <v>76813918208</v>
      </c>
      <c r="M1022">
        <v>79633580032</v>
      </c>
      <c r="N1022">
        <v>86703128576</v>
      </c>
      <c r="O1022">
        <v>98366087168</v>
      </c>
      <c r="P1022">
        <v>116931346432</v>
      </c>
    </row>
    <row r="1023" spans="1:16" ht="12.75">
      <c r="A1023" s="62" t="str">
        <f t="shared" si="16"/>
        <v>Philippines_GDP per capita, PPP (current international $)</v>
      </c>
      <c r="B1023" t="s">
        <v>510</v>
      </c>
      <c r="C1023" t="s">
        <v>230</v>
      </c>
      <c r="D1023" t="s">
        <v>434</v>
      </c>
      <c r="E1023" t="s">
        <v>435</v>
      </c>
      <c r="F1023">
        <v>3580.9999369296</v>
      </c>
      <c r="G1023">
        <v>3750.43791347747</v>
      </c>
      <c r="H1023">
        <v>3693.92024284767</v>
      </c>
      <c r="I1023">
        <v>3797.72347970791</v>
      </c>
      <c r="J1023">
        <v>4032.18720397648</v>
      </c>
      <c r="K1023">
        <v>4121.77392016824</v>
      </c>
      <c r="L1023">
        <v>4298.81845434934</v>
      </c>
      <c r="M1023">
        <v>4518.65814128682</v>
      </c>
      <c r="N1023">
        <v>4836.47356539527</v>
      </c>
      <c r="O1023">
        <v>5139.62697062609</v>
      </c>
      <c r="P1023">
        <v>5473.00692947909</v>
      </c>
    </row>
    <row r="1024" spans="1:16" ht="12.75">
      <c r="A1024" s="62" t="str">
        <f t="shared" si="16"/>
        <v>Philippines_GDP per capita, PPP (constant 2000 international $)</v>
      </c>
      <c r="B1024" t="s">
        <v>510</v>
      </c>
      <c r="C1024" t="s">
        <v>230</v>
      </c>
      <c r="D1024" t="s">
        <v>436</v>
      </c>
      <c r="E1024" t="s">
        <v>437</v>
      </c>
      <c r="F1024">
        <v>3815.86418452749</v>
      </c>
      <c r="G1024">
        <v>3930.75743088541</v>
      </c>
      <c r="H1024">
        <v>3828.98096551864</v>
      </c>
      <c r="I1024">
        <v>3880.50835740431</v>
      </c>
      <c r="J1024">
        <v>4032.18720397648</v>
      </c>
      <c r="K1024">
        <v>4024.82364953384</v>
      </c>
      <c r="L1024">
        <v>4125.50529022199</v>
      </c>
      <c r="M1024">
        <v>4249.98468460043</v>
      </c>
      <c r="N1024">
        <v>4432.59231868424</v>
      </c>
      <c r="O1024">
        <v>4572.50284896365</v>
      </c>
      <c r="P1024">
        <v>4730.57854808439</v>
      </c>
    </row>
    <row r="1025" spans="1:16" ht="12.75">
      <c r="A1025" s="62" t="str">
        <f t="shared" si="16"/>
        <v>Philippines_GINI index</v>
      </c>
      <c r="B1025" t="s">
        <v>510</v>
      </c>
      <c r="C1025" t="s">
        <v>230</v>
      </c>
      <c r="D1025" t="s">
        <v>438</v>
      </c>
      <c r="E1025" t="s">
        <v>439</v>
      </c>
      <c r="F1025" t="s">
        <v>193</v>
      </c>
      <c r="G1025">
        <v>46.16</v>
      </c>
      <c r="H1025" t="s">
        <v>193</v>
      </c>
      <c r="I1025" t="s">
        <v>193</v>
      </c>
      <c r="J1025">
        <v>46.09</v>
      </c>
      <c r="K1025" t="s">
        <v>193</v>
      </c>
      <c r="L1025" t="s">
        <v>193</v>
      </c>
      <c r="M1025">
        <v>44.53</v>
      </c>
      <c r="N1025" t="s">
        <v>193</v>
      </c>
      <c r="O1025" t="s">
        <v>193</v>
      </c>
      <c r="P1025" t="s">
        <v>193</v>
      </c>
    </row>
    <row r="1026" spans="1:16" ht="12.75">
      <c r="A1026" s="62" t="str">
        <f t="shared" si="16"/>
        <v>Poland_Poverty headcount ratio at national poverty line (% of population)</v>
      </c>
      <c r="B1026" t="s">
        <v>511</v>
      </c>
      <c r="C1026" t="s">
        <v>218</v>
      </c>
      <c r="D1026" t="s">
        <v>408</v>
      </c>
      <c r="E1026" t="s">
        <v>409</v>
      </c>
      <c r="F1026" t="s">
        <v>193</v>
      </c>
      <c r="G1026" t="s">
        <v>193</v>
      </c>
      <c r="H1026" t="s">
        <v>193</v>
      </c>
      <c r="I1026" t="s">
        <v>193</v>
      </c>
      <c r="J1026" t="s">
        <v>193</v>
      </c>
      <c r="K1026" t="s">
        <v>193</v>
      </c>
      <c r="L1026" t="s">
        <v>193</v>
      </c>
      <c r="M1026" t="s">
        <v>193</v>
      </c>
      <c r="N1026" t="s">
        <v>193</v>
      </c>
      <c r="O1026" t="s">
        <v>193</v>
      </c>
      <c r="P1026" t="s">
        <v>193</v>
      </c>
    </row>
    <row r="1027" spans="1:16" ht="12.75">
      <c r="A1027" s="62" t="str">
        <f t="shared" si="16"/>
        <v>Poland_Poverty headcount ratio at $2 a day (PPP) (% of population)</v>
      </c>
      <c r="B1027" t="s">
        <v>511</v>
      </c>
      <c r="C1027" t="s">
        <v>218</v>
      </c>
      <c r="D1027" t="s">
        <v>410</v>
      </c>
      <c r="E1027" t="s">
        <v>411</v>
      </c>
      <c r="F1027">
        <v>2</v>
      </c>
      <c r="G1027" t="s">
        <v>193</v>
      </c>
      <c r="H1027">
        <v>2</v>
      </c>
      <c r="I1027" t="s">
        <v>193</v>
      </c>
      <c r="J1027" t="s">
        <v>193</v>
      </c>
      <c r="K1027" t="s">
        <v>193</v>
      </c>
      <c r="L1027">
        <v>2</v>
      </c>
      <c r="M1027" t="s">
        <v>193</v>
      </c>
      <c r="N1027" t="s">
        <v>193</v>
      </c>
      <c r="O1027" t="s">
        <v>193</v>
      </c>
      <c r="P1027" t="s">
        <v>193</v>
      </c>
    </row>
    <row r="1028" spans="1:16" ht="12.75">
      <c r="A1028" s="62" t="str">
        <f t="shared" si="16"/>
        <v>Poland_Poverty headcount ratio at $1 a day (PPP) (% of population)</v>
      </c>
      <c r="B1028" t="s">
        <v>511</v>
      </c>
      <c r="C1028" t="s">
        <v>218</v>
      </c>
      <c r="D1028" t="s">
        <v>412</v>
      </c>
      <c r="E1028" t="s">
        <v>413</v>
      </c>
      <c r="F1028">
        <v>2</v>
      </c>
      <c r="G1028" t="s">
        <v>193</v>
      </c>
      <c r="H1028">
        <v>2</v>
      </c>
      <c r="I1028" t="s">
        <v>193</v>
      </c>
      <c r="J1028" t="s">
        <v>193</v>
      </c>
      <c r="K1028" t="s">
        <v>193</v>
      </c>
      <c r="L1028">
        <v>2</v>
      </c>
      <c r="M1028" t="s">
        <v>193</v>
      </c>
      <c r="N1028" t="s">
        <v>193</v>
      </c>
      <c r="O1028" t="s">
        <v>193</v>
      </c>
      <c r="P1028" t="s">
        <v>193</v>
      </c>
    </row>
    <row r="1029" spans="1:16" ht="12.75">
      <c r="A1029" s="62" t="str">
        <f t="shared" si="16"/>
        <v>Poland_Poverty gap at $1 a day (PPP) (%)</v>
      </c>
      <c r="B1029" t="s">
        <v>511</v>
      </c>
      <c r="C1029" t="s">
        <v>218</v>
      </c>
      <c r="D1029" t="s">
        <v>414</v>
      </c>
      <c r="E1029" t="s">
        <v>415</v>
      </c>
      <c r="F1029">
        <v>0.5</v>
      </c>
      <c r="G1029" t="s">
        <v>193</v>
      </c>
      <c r="H1029">
        <v>0.5</v>
      </c>
      <c r="I1029" t="s">
        <v>193</v>
      </c>
      <c r="J1029" t="s">
        <v>193</v>
      </c>
      <c r="K1029" t="s">
        <v>193</v>
      </c>
      <c r="L1029">
        <v>0.5</v>
      </c>
      <c r="M1029" t="s">
        <v>193</v>
      </c>
      <c r="N1029" t="s">
        <v>193</v>
      </c>
      <c r="O1029" t="s">
        <v>193</v>
      </c>
      <c r="P1029" t="s">
        <v>193</v>
      </c>
    </row>
    <row r="1030" spans="1:16" ht="12.75">
      <c r="A1030" s="62" t="str">
        <f t="shared" si="16"/>
        <v>Poland_Poverty gap at $2 a day (PPP) (%)</v>
      </c>
      <c r="B1030" t="s">
        <v>511</v>
      </c>
      <c r="C1030" t="s">
        <v>218</v>
      </c>
      <c r="D1030" t="s">
        <v>416</v>
      </c>
      <c r="E1030" t="s">
        <v>417</v>
      </c>
      <c r="F1030">
        <v>0.5</v>
      </c>
      <c r="G1030" t="s">
        <v>193</v>
      </c>
      <c r="H1030">
        <v>0.5</v>
      </c>
      <c r="I1030" t="s">
        <v>193</v>
      </c>
      <c r="J1030" t="s">
        <v>193</v>
      </c>
      <c r="K1030" t="s">
        <v>193</v>
      </c>
      <c r="L1030">
        <v>0.5</v>
      </c>
      <c r="M1030" t="s">
        <v>193</v>
      </c>
      <c r="N1030" t="s">
        <v>193</v>
      </c>
      <c r="O1030" t="s">
        <v>193</v>
      </c>
      <c r="P1030" t="s">
        <v>193</v>
      </c>
    </row>
    <row r="1031" spans="1:16" ht="12.75">
      <c r="A1031" s="62" t="str">
        <f t="shared" si="16"/>
        <v>Poland_Population, total</v>
      </c>
      <c r="B1031" t="s">
        <v>511</v>
      </c>
      <c r="C1031" t="s">
        <v>218</v>
      </c>
      <c r="D1031" t="s">
        <v>418</v>
      </c>
      <c r="E1031" t="s">
        <v>419</v>
      </c>
      <c r="F1031">
        <v>38618000</v>
      </c>
      <c r="G1031">
        <v>38650000</v>
      </c>
      <c r="H1031">
        <v>38666145</v>
      </c>
      <c r="I1031">
        <v>38658000</v>
      </c>
      <c r="J1031">
        <v>38453800</v>
      </c>
      <c r="K1031">
        <v>38251000</v>
      </c>
      <c r="L1031">
        <v>38232000</v>
      </c>
      <c r="M1031">
        <v>38196000</v>
      </c>
      <c r="N1031">
        <v>38182200</v>
      </c>
      <c r="O1031">
        <v>38165450</v>
      </c>
      <c r="P1031">
        <v>38112412.7967788</v>
      </c>
    </row>
    <row r="1032" spans="1:16" ht="12.75">
      <c r="A1032" s="62" t="str">
        <f t="shared" si="16"/>
        <v>Poland_Public spending on education, total (% of GDP)</v>
      </c>
      <c r="B1032" t="s">
        <v>511</v>
      </c>
      <c r="C1032" t="s">
        <v>218</v>
      </c>
      <c r="D1032" t="s">
        <v>420</v>
      </c>
      <c r="E1032" t="s">
        <v>421</v>
      </c>
      <c r="F1032" t="s">
        <v>193</v>
      </c>
      <c r="G1032" t="s">
        <v>193</v>
      </c>
      <c r="H1032" t="s">
        <v>193</v>
      </c>
      <c r="I1032">
        <v>4.64847553176323</v>
      </c>
      <c r="J1032">
        <v>4.8287884170085</v>
      </c>
      <c r="K1032">
        <v>5.42690795461479</v>
      </c>
      <c r="L1032">
        <v>5.41639195236963</v>
      </c>
      <c r="M1032">
        <v>5.61824631475463</v>
      </c>
      <c r="N1032">
        <v>5.41910866179675</v>
      </c>
      <c r="O1032" t="s">
        <v>193</v>
      </c>
      <c r="P1032" t="s">
        <v>193</v>
      </c>
    </row>
    <row r="1033" spans="1:16" ht="12.75">
      <c r="A1033" s="62" t="str">
        <f t="shared" si="16"/>
        <v>Poland_Public spending on education, total (% of government expenditure)</v>
      </c>
      <c r="B1033" t="s">
        <v>511</v>
      </c>
      <c r="C1033" t="s">
        <v>218</v>
      </c>
      <c r="D1033" t="s">
        <v>422</v>
      </c>
      <c r="E1033" t="s">
        <v>423</v>
      </c>
      <c r="F1033" t="s">
        <v>193</v>
      </c>
      <c r="G1033" t="s">
        <v>193</v>
      </c>
      <c r="H1033" t="s">
        <v>193</v>
      </c>
      <c r="I1033">
        <v>11.4452913944824</v>
      </c>
      <c r="J1033">
        <v>12.2295046800811</v>
      </c>
      <c r="K1033" t="s">
        <v>193</v>
      </c>
      <c r="L1033">
        <v>12.2934325120169</v>
      </c>
      <c r="M1033">
        <v>12.5922613819645</v>
      </c>
      <c r="N1033">
        <v>12.7090056891154</v>
      </c>
      <c r="O1033" t="s">
        <v>193</v>
      </c>
      <c r="P1033" t="s">
        <v>193</v>
      </c>
    </row>
    <row r="1034" spans="1:16" ht="12.75">
      <c r="A1034" s="62" t="str">
        <f t="shared" si="16"/>
        <v>Poland_Health expenditure, public (% of total health expenditure)</v>
      </c>
      <c r="B1034" t="s">
        <v>511</v>
      </c>
      <c r="C1034" t="s">
        <v>218</v>
      </c>
      <c r="D1034" t="s">
        <v>424</v>
      </c>
      <c r="E1034" t="s">
        <v>425</v>
      </c>
      <c r="F1034" t="s">
        <v>193</v>
      </c>
      <c r="G1034" t="s">
        <v>193</v>
      </c>
      <c r="H1034" t="s">
        <v>193</v>
      </c>
      <c r="I1034" t="s">
        <v>193</v>
      </c>
      <c r="J1034">
        <v>70</v>
      </c>
      <c r="K1034">
        <v>71.9</v>
      </c>
      <c r="L1034">
        <v>71.2</v>
      </c>
      <c r="M1034">
        <v>70</v>
      </c>
      <c r="N1034">
        <v>68.6</v>
      </c>
      <c r="O1034" t="s">
        <v>193</v>
      </c>
      <c r="P1034" t="s">
        <v>193</v>
      </c>
    </row>
    <row r="1035" spans="1:16" ht="12.75">
      <c r="A1035" s="62" t="str">
        <f t="shared" si="16"/>
        <v>Poland_Health expenditure, public (% of GDP)</v>
      </c>
      <c r="B1035" t="s">
        <v>511</v>
      </c>
      <c r="C1035" t="s">
        <v>218</v>
      </c>
      <c r="D1035" t="s">
        <v>426</v>
      </c>
      <c r="E1035" t="s">
        <v>427</v>
      </c>
      <c r="F1035" t="s">
        <v>193</v>
      </c>
      <c r="G1035" t="s">
        <v>193</v>
      </c>
      <c r="H1035" t="s">
        <v>193</v>
      </c>
      <c r="I1035" t="s">
        <v>193</v>
      </c>
      <c r="J1035">
        <v>3.85</v>
      </c>
      <c r="K1035">
        <v>4.2421</v>
      </c>
      <c r="L1035">
        <v>4.4856</v>
      </c>
      <c r="M1035">
        <v>4.34</v>
      </c>
      <c r="N1035">
        <v>4.2532</v>
      </c>
      <c r="O1035" t="s">
        <v>193</v>
      </c>
      <c r="P1035" t="s">
        <v>193</v>
      </c>
    </row>
    <row r="1036" spans="1:16" ht="12.75">
      <c r="A1036" s="62" t="str">
        <f t="shared" si="16"/>
        <v>Poland_Health expenditure, total (% of GDP)</v>
      </c>
      <c r="B1036" t="s">
        <v>511</v>
      </c>
      <c r="C1036" t="s">
        <v>218</v>
      </c>
      <c r="D1036" t="s">
        <v>428</v>
      </c>
      <c r="E1036" t="s">
        <v>429</v>
      </c>
      <c r="F1036" t="s">
        <v>193</v>
      </c>
      <c r="G1036" t="s">
        <v>193</v>
      </c>
      <c r="H1036" t="s">
        <v>193</v>
      </c>
      <c r="I1036" t="s">
        <v>193</v>
      </c>
      <c r="J1036">
        <v>5.5</v>
      </c>
      <c r="K1036">
        <v>5.9</v>
      </c>
      <c r="L1036">
        <v>6.3</v>
      </c>
      <c r="M1036">
        <v>6.2</v>
      </c>
      <c r="N1036">
        <v>6.2</v>
      </c>
      <c r="O1036" t="s">
        <v>193</v>
      </c>
      <c r="P1036" t="s">
        <v>193</v>
      </c>
    </row>
    <row r="1037" spans="1:16" ht="12.75">
      <c r="A1037" s="62" t="str">
        <f t="shared" si="16"/>
        <v>Poland_GDP (current LCU)</v>
      </c>
      <c r="B1037" t="s">
        <v>511</v>
      </c>
      <c r="C1037" t="s">
        <v>218</v>
      </c>
      <c r="D1037" t="s">
        <v>430</v>
      </c>
      <c r="E1037" t="s">
        <v>431</v>
      </c>
      <c r="F1037">
        <v>422435815424</v>
      </c>
      <c r="G1037">
        <v>515353214976</v>
      </c>
      <c r="H1037">
        <v>600901877760</v>
      </c>
      <c r="I1037">
        <v>666308313088</v>
      </c>
      <c r="J1037">
        <v>744621801472</v>
      </c>
      <c r="K1037">
        <v>779204689920</v>
      </c>
      <c r="L1037">
        <v>807859519488</v>
      </c>
      <c r="M1037">
        <v>842120429568</v>
      </c>
      <c r="N1037">
        <v>923247968256</v>
      </c>
      <c r="O1037">
        <v>980665630720</v>
      </c>
      <c r="P1037">
        <v>1050918780928</v>
      </c>
    </row>
    <row r="1038" spans="1:16" ht="12.75">
      <c r="A1038" s="62" t="str">
        <f t="shared" si="16"/>
        <v>Poland_GDP (current US$)</v>
      </c>
      <c r="B1038" t="s">
        <v>511</v>
      </c>
      <c r="C1038" t="s">
        <v>218</v>
      </c>
      <c r="D1038" t="s">
        <v>432</v>
      </c>
      <c r="E1038" t="s">
        <v>433</v>
      </c>
      <c r="F1038">
        <v>156660776960</v>
      </c>
      <c r="G1038">
        <v>157081567232</v>
      </c>
      <c r="H1038">
        <v>171995856896</v>
      </c>
      <c r="I1038">
        <v>167941603328</v>
      </c>
      <c r="J1038">
        <v>171319214080</v>
      </c>
      <c r="K1038">
        <v>190333108224</v>
      </c>
      <c r="L1038">
        <v>198029049856</v>
      </c>
      <c r="M1038">
        <v>216544624640</v>
      </c>
      <c r="N1038">
        <v>252667756544</v>
      </c>
      <c r="O1038">
        <v>303161114624</v>
      </c>
      <c r="P1038">
        <v>338732908544</v>
      </c>
    </row>
    <row r="1039" spans="1:16" ht="12.75">
      <c r="A1039" s="62" t="str">
        <f t="shared" si="16"/>
        <v>Poland_GDP per capita, PPP (current international $)</v>
      </c>
      <c r="B1039" t="s">
        <v>511</v>
      </c>
      <c r="C1039" t="s">
        <v>218</v>
      </c>
      <c r="D1039" t="s">
        <v>434</v>
      </c>
      <c r="E1039" t="s">
        <v>435</v>
      </c>
      <c r="F1039">
        <v>8221.88254330606</v>
      </c>
      <c r="G1039">
        <v>8944.17493950218</v>
      </c>
      <c r="H1039">
        <v>9490.1018849273</v>
      </c>
      <c r="I1039">
        <v>10064.9085041153</v>
      </c>
      <c r="J1039">
        <v>10772.3617072787</v>
      </c>
      <c r="K1039">
        <v>11214.6616227372</v>
      </c>
      <c r="L1039">
        <v>11576.4165423545</v>
      </c>
      <c r="M1039">
        <v>12277.2863658205</v>
      </c>
      <c r="N1039">
        <v>13274.9121770182</v>
      </c>
      <c r="O1039">
        <v>14166.896155573</v>
      </c>
      <c r="P1039">
        <v>15444.4009336922</v>
      </c>
    </row>
    <row r="1040" spans="1:16" ht="12.75">
      <c r="A1040" s="62" t="str">
        <f t="shared" si="16"/>
        <v>Poland_GDP per capita, PPP (constant 2000 international $)</v>
      </c>
      <c r="B1040" t="s">
        <v>511</v>
      </c>
      <c r="C1040" t="s">
        <v>218</v>
      </c>
      <c r="D1040" t="s">
        <v>436</v>
      </c>
      <c r="E1040" t="s">
        <v>437</v>
      </c>
      <c r="F1040">
        <v>8761.12473581709</v>
      </c>
      <c r="G1040">
        <v>9374.20720397655</v>
      </c>
      <c r="H1040">
        <v>9837.08826647713</v>
      </c>
      <c r="I1040">
        <v>10284.308948616</v>
      </c>
      <c r="J1040">
        <v>10772.3617072787</v>
      </c>
      <c r="K1040">
        <v>10950.8760535973</v>
      </c>
      <c r="L1040">
        <v>11109.6963489996</v>
      </c>
      <c r="M1040">
        <v>11547.2951021542</v>
      </c>
      <c r="N1040">
        <v>12166.3590116717</v>
      </c>
      <c r="O1040">
        <v>12603.6720957667</v>
      </c>
      <c r="P1040">
        <v>13349.3256424385</v>
      </c>
    </row>
    <row r="1041" spans="1:16" ht="12.75">
      <c r="A1041" s="62" t="str">
        <f t="shared" si="16"/>
        <v>Poland_GINI index</v>
      </c>
      <c r="B1041" t="s">
        <v>511</v>
      </c>
      <c r="C1041" t="s">
        <v>218</v>
      </c>
      <c r="D1041" t="s">
        <v>438</v>
      </c>
      <c r="E1041" t="s">
        <v>439</v>
      </c>
      <c r="F1041">
        <v>32.66</v>
      </c>
      <c r="G1041" t="s">
        <v>193</v>
      </c>
      <c r="H1041">
        <v>32.85</v>
      </c>
      <c r="I1041" t="s">
        <v>193</v>
      </c>
      <c r="J1041" t="s">
        <v>193</v>
      </c>
      <c r="K1041" t="s">
        <v>193</v>
      </c>
      <c r="L1041">
        <v>34.465</v>
      </c>
      <c r="M1041" t="s">
        <v>193</v>
      </c>
      <c r="N1041" t="s">
        <v>193</v>
      </c>
      <c r="O1041" t="s">
        <v>193</v>
      </c>
      <c r="P1041" t="s">
        <v>193</v>
      </c>
    </row>
    <row r="1042" spans="1:16" ht="12.75">
      <c r="A1042" s="62" t="str">
        <f t="shared" si="16"/>
        <v>Romania_Poverty headcount ratio at national poverty line (% of population)</v>
      </c>
      <c r="B1042" t="s">
        <v>512</v>
      </c>
      <c r="C1042" t="s">
        <v>219</v>
      </c>
      <c r="D1042" t="s">
        <v>408</v>
      </c>
      <c r="E1042" t="s">
        <v>409</v>
      </c>
      <c r="F1042" t="s">
        <v>193</v>
      </c>
      <c r="G1042" t="s">
        <v>193</v>
      </c>
      <c r="H1042" t="s">
        <v>193</v>
      </c>
      <c r="I1042" t="s">
        <v>193</v>
      </c>
      <c r="J1042" t="s">
        <v>193</v>
      </c>
      <c r="K1042" t="s">
        <v>193</v>
      </c>
      <c r="L1042" t="s">
        <v>193</v>
      </c>
      <c r="M1042" t="s">
        <v>193</v>
      </c>
      <c r="N1042" t="s">
        <v>193</v>
      </c>
      <c r="O1042" t="s">
        <v>193</v>
      </c>
      <c r="P1042" t="s">
        <v>193</v>
      </c>
    </row>
    <row r="1043" spans="1:16" ht="12.75">
      <c r="A1043" s="62" t="str">
        <f t="shared" si="16"/>
        <v>Romania_Poverty headcount ratio at $2 a day (PPP) (% of population)</v>
      </c>
      <c r="B1043" t="s">
        <v>512</v>
      </c>
      <c r="C1043" t="s">
        <v>219</v>
      </c>
      <c r="D1043" t="s">
        <v>410</v>
      </c>
      <c r="E1043" t="s">
        <v>411</v>
      </c>
      <c r="F1043" t="s">
        <v>193</v>
      </c>
      <c r="G1043" t="s">
        <v>193</v>
      </c>
      <c r="H1043">
        <v>12.83</v>
      </c>
      <c r="I1043" t="s">
        <v>193</v>
      </c>
      <c r="J1043">
        <v>20.47</v>
      </c>
      <c r="K1043" t="s">
        <v>193</v>
      </c>
      <c r="L1043" t="s">
        <v>193</v>
      </c>
      <c r="M1043">
        <v>12.93</v>
      </c>
      <c r="N1043" t="s">
        <v>193</v>
      </c>
      <c r="O1043" t="s">
        <v>193</v>
      </c>
      <c r="P1043" t="s">
        <v>193</v>
      </c>
    </row>
    <row r="1044" spans="1:16" ht="12.75">
      <c r="A1044" s="62" t="str">
        <f t="shared" si="16"/>
        <v>Romania_Poverty headcount ratio at $1 a day (PPP) (% of population)</v>
      </c>
      <c r="B1044" t="s">
        <v>512</v>
      </c>
      <c r="C1044" t="s">
        <v>219</v>
      </c>
      <c r="D1044" t="s">
        <v>412</v>
      </c>
      <c r="E1044" t="s">
        <v>413</v>
      </c>
      <c r="F1044" t="s">
        <v>193</v>
      </c>
      <c r="G1044" t="s">
        <v>193</v>
      </c>
      <c r="H1044">
        <v>2</v>
      </c>
      <c r="I1044" t="s">
        <v>193</v>
      </c>
      <c r="J1044">
        <v>2.14</v>
      </c>
      <c r="K1044" t="s">
        <v>193</v>
      </c>
      <c r="L1044" t="s">
        <v>193</v>
      </c>
      <c r="M1044">
        <v>2</v>
      </c>
      <c r="N1044" t="s">
        <v>193</v>
      </c>
      <c r="O1044" t="s">
        <v>193</v>
      </c>
      <c r="P1044" t="s">
        <v>193</v>
      </c>
    </row>
    <row r="1045" spans="1:16" ht="12.75">
      <c r="A1045" s="62" t="str">
        <f t="shared" si="16"/>
        <v>Romania_Poverty gap at $1 a day (PPP) (%)</v>
      </c>
      <c r="B1045" t="s">
        <v>512</v>
      </c>
      <c r="C1045" t="s">
        <v>219</v>
      </c>
      <c r="D1045" t="s">
        <v>414</v>
      </c>
      <c r="E1045" t="s">
        <v>415</v>
      </c>
      <c r="F1045" t="s">
        <v>193</v>
      </c>
      <c r="G1045" t="s">
        <v>193</v>
      </c>
      <c r="H1045">
        <v>0.5</v>
      </c>
      <c r="I1045" t="s">
        <v>193</v>
      </c>
      <c r="J1045">
        <v>0.59</v>
      </c>
      <c r="K1045" t="s">
        <v>193</v>
      </c>
      <c r="L1045" t="s">
        <v>193</v>
      </c>
      <c r="M1045">
        <v>0.507</v>
      </c>
      <c r="N1045" t="s">
        <v>193</v>
      </c>
      <c r="O1045" t="s">
        <v>193</v>
      </c>
      <c r="P1045" t="s">
        <v>193</v>
      </c>
    </row>
    <row r="1046" spans="1:16" ht="12.75">
      <c r="A1046" s="62" t="str">
        <f t="shared" si="16"/>
        <v>Romania_Poverty gap at $2 a day (PPP) (%)</v>
      </c>
      <c r="B1046" t="s">
        <v>512</v>
      </c>
      <c r="C1046" t="s">
        <v>219</v>
      </c>
      <c r="D1046" t="s">
        <v>416</v>
      </c>
      <c r="E1046" t="s">
        <v>417</v>
      </c>
      <c r="F1046" t="s">
        <v>193</v>
      </c>
      <c r="G1046" t="s">
        <v>193</v>
      </c>
      <c r="H1046">
        <v>2.8</v>
      </c>
      <c r="I1046" t="s">
        <v>193</v>
      </c>
      <c r="J1046">
        <v>5.15</v>
      </c>
      <c r="K1046" t="s">
        <v>193</v>
      </c>
      <c r="L1046" t="s">
        <v>193</v>
      </c>
      <c r="M1046">
        <v>2.98</v>
      </c>
      <c r="N1046" t="s">
        <v>193</v>
      </c>
      <c r="O1046" t="s">
        <v>193</v>
      </c>
      <c r="P1046" t="s">
        <v>193</v>
      </c>
    </row>
    <row r="1047" spans="1:16" ht="12.75">
      <c r="A1047" s="62" t="str">
        <f t="shared" si="16"/>
        <v>Romania_Population, total</v>
      </c>
      <c r="B1047" t="s">
        <v>512</v>
      </c>
      <c r="C1047" t="s">
        <v>219</v>
      </c>
      <c r="D1047" t="s">
        <v>418</v>
      </c>
      <c r="E1047" t="s">
        <v>419</v>
      </c>
      <c r="F1047">
        <v>22608000</v>
      </c>
      <c r="G1047">
        <v>22554000</v>
      </c>
      <c r="H1047">
        <v>22503000</v>
      </c>
      <c r="I1047">
        <v>22457994</v>
      </c>
      <c r="J1047">
        <v>22443000</v>
      </c>
      <c r="K1047">
        <v>22132000</v>
      </c>
      <c r="L1047">
        <v>21803128.8763792</v>
      </c>
      <c r="M1047">
        <v>21742028.254972</v>
      </c>
      <c r="N1047">
        <v>21684883.9298254</v>
      </c>
      <c r="O1047">
        <v>21634350</v>
      </c>
      <c r="P1047">
        <v>21541893.119816</v>
      </c>
    </row>
    <row r="1048" spans="1:16" ht="12.75">
      <c r="A1048" s="62" t="str">
        <f t="shared" si="16"/>
        <v>Romania_Public spending on education, total (% of GDP)</v>
      </c>
      <c r="B1048" t="s">
        <v>512</v>
      </c>
      <c r="C1048" t="s">
        <v>219</v>
      </c>
      <c r="D1048" t="s">
        <v>420</v>
      </c>
      <c r="E1048" t="s">
        <v>421</v>
      </c>
      <c r="F1048" t="s">
        <v>193</v>
      </c>
      <c r="G1048" t="s">
        <v>193</v>
      </c>
      <c r="H1048" t="s">
        <v>193</v>
      </c>
      <c r="I1048">
        <v>3.51719615320359</v>
      </c>
      <c r="J1048">
        <v>2.88632439709728</v>
      </c>
      <c r="K1048">
        <v>3.28370671805754</v>
      </c>
      <c r="L1048">
        <v>3.52254924653295</v>
      </c>
      <c r="M1048">
        <v>3.44267204515005</v>
      </c>
      <c r="N1048" t="s">
        <v>193</v>
      </c>
      <c r="O1048" t="s">
        <v>193</v>
      </c>
      <c r="P1048" t="s">
        <v>193</v>
      </c>
    </row>
    <row r="1049" spans="1:16" ht="12.75">
      <c r="A1049" s="62" t="str">
        <f t="shared" si="16"/>
        <v>Romania_Public spending on education, total (% of government expenditure)</v>
      </c>
      <c r="B1049" t="s">
        <v>512</v>
      </c>
      <c r="C1049" t="s">
        <v>219</v>
      </c>
      <c r="D1049" t="s">
        <v>422</v>
      </c>
      <c r="E1049" t="s">
        <v>423</v>
      </c>
      <c r="F1049" t="s">
        <v>193</v>
      </c>
      <c r="G1049" t="s">
        <v>193</v>
      </c>
      <c r="H1049" t="s">
        <v>193</v>
      </c>
      <c r="I1049" t="s">
        <v>193</v>
      </c>
      <c r="J1049" t="s">
        <v>193</v>
      </c>
      <c r="K1049" t="s">
        <v>193</v>
      </c>
      <c r="L1049" t="s">
        <v>193</v>
      </c>
      <c r="M1049" t="s">
        <v>193</v>
      </c>
      <c r="N1049" t="s">
        <v>193</v>
      </c>
      <c r="O1049" t="s">
        <v>193</v>
      </c>
      <c r="P1049" t="s">
        <v>193</v>
      </c>
    </row>
    <row r="1050" spans="1:16" ht="12.75">
      <c r="A1050" s="62" t="str">
        <f t="shared" si="16"/>
        <v>Romania_Health expenditure, public (% of total health expenditure)</v>
      </c>
      <c r="B1050" t="s">
        <v>512</v>
      </c>
      <c r="C1050" t="s">
        <v>219</v>
      </c>
      <c r="D1050" t="s">
        <v>424</v>
      </c>
      <c r="E1050" t="s">
        <v>425</v>
      </c>
      <c r="F1050" t="s">
        <v>193</v>
      </c>
      <c r="G1050" t="s">
        <v>193</v>
      </c>
      <c r="H1050" t="s">
        <v>193</v>
      </c>
      <c r="I1050" t="s">
        <v>193</v>
      </c>
      <c r="J1050">
        <v>67.3</v>
      </c>
      <c r="K1050">
        <v>65.8</v>
      </c>
      <c r="L1050">
        <v>65.2</v>
      </c>
      <c r="M1050">
        <v>67.8</v>
      </c>
      <c r="N1050">
        <v>66.1</v>
      </c>
      <c r="O1050" t="s">
        <v>193</v>
      </c>
      <c r="P1050" t="s">
        <v>193</v>
      </c>
    </row>
    <row r="1051" spans="1:16" ht="12.75">
      <c r="A1051" s="62" t="str">
        <f t="shared" si="16"/>
        <v>Romania_Health expenditure, public (% of GDP)</v>
      </c>
      <c r="B1051" t="s">
        <v>512</v>
      </c>
      <c r="C1051" t="s">
        <v>219</v>
      </c>
      <c r="D1051" t="s">
        <v>426</v>
      </c>
      <c r="E1051" t="s">
        <v>427</v>
      </c>
      <c r="F1051" t="s">
        <v>193</v>
      </c>
      <c r="G1051" t="s">
        <v>193</v>
      </c>
      <c r="H1051" t="s">
        <v>193</v>
      </c>
      <c r="I1051" t="s">
        <v>193</v>
      </c>
      <c r="J1051">
        <v>3.4323</v>
      </c>
      <c r="K1051">
        <v>3.4216</v>
      </c>
      <c r="L1051">
        <v>3.6512</v>
      </c>
      <c r="M1051">
        <v>3.7968</v>
      </c>
      <c r="N1051">
        <v>3.3711</v>
      </c>
      <c r="O1051" t="s">
        <v>193</v>
      </c>
      <c r="P1051" t="s">
        <v>193</v>
      </c>
    </row>
    <row r="1052" spans="1:16" ht="12.75">
      <c r="A1052" s="62" t="str">
        <f t="shared" si="16"/>
        <v>Romania_Health expenditure, total (% of GDP)</v>
      </c>
      <c r="B1052" t="s">
        <v>512</v>
      </c>
      <c r="C1052" t="s">
        <v>219</v>
      </c>
      <c r="D1052" t="s">
        <v>428</v>
      </c>
      <c r="E1052" t="s">
        <v>429</v>
      </c>
      <c r="F1052" t="s">
        <v>193</v>
      </c>
      <c r="G1052" t="s">
        <v>193</v>
      </c>
      <c r="H1052" t="s">
        <v>193</v>
      </c>
      <c r="I1052" t="s">
        <v>193</v>
      </c>
      <c r="J1052">
        <v>5.1</v>
      </c>
      <c r="K1052">
        <v>5.2</v>
      </c>
      <c r="L1052">
        <v>5.6</v>
      </c>
      <c r="M1052">
        <v>5.6</v>
      </c>
      <c r="N1052">
        <v>5.1</v>
      </c>
      <c r="O1052" t="s">
        <v>193</v>
      </c>
      <c r="P1052" t="s">
        <v>193</v>
      </c>
    </row>
    <row r="1053" spans="1:16" ht="12.75">
      <c r="A1053" s="62" t="str">
        <f t="shared" si="16"/>
        <v>Romania_GDP (current LCU)</v>
      </c>
      <c r="B1053" t="s">
        <v>512</v>
      </c>
      <c r="C1053" t="s">
        <v>219</v>
      </c>
      <c r="D1053" t="s">
        <v>430</v>
      </c>
      <c r="E1053" t="s">
        <v>431</v>
      </c>
      <c r="F1053">
        <v>10891960320</v>
      </c>
      <c r="G1053">
        <v>25292570624</v>
      </c>
      <c r="H1053">
        <v>37379817472</v>
      </c>
      <c r="I1053">
        <v>54573019136</v>
      </c>
      <c r="J1053">
        <v>80377315328</v>
      </c>
      <c r="K1053">
        <v>116768702464</v>
      </c>
      <c r="L1053">
        <v>151475093504</v>
      </c>
      <c r="M1053">
        <v>197564809216</v>
      </c>
      <c r="N1053">
        <v>246371647488</v>
      </c>
      <c r="O1053">
        <v>287999983616</v>
      </c>
      <c r="P1053">
        <v>341600010240</v>
      </c>
    </row>
    <row r="1054" spans="1:16" ht="12.75">
      <c r="A1054" s="62" t="str">
        <f t="shared" si="16"/>
        <v>Romania_GDP (current US$)</v>
      </c>
      <c r="B1054" t="s">
        <v>512</v>
      </c>
      <c r="C1054" t="s">
        <v>219</v>
      </c>
      <c r="D1054" t="s">
        <v>432</v>
      </c>
      <c r="E1054" t="s">
        <v>433</v>
      </c>
      <c r="F1054">
        <v>35333677056</v>
      </c>
      <c r="G1054">
        <v>35285889024</v>
      </c>
      <c r="H1054">
        <v>42115497984</v>
      </c>
      <c r="I1054">
        <v>35592339456</v>
      </c>
      <c r="J1054">
        <v>37052637184</v>
      </c>
      <c r="K1054">
        <v>40180744192</v>
      </c>
      <c r="L1054">
        <v>45824528384</v>
      </c>
      <c r="M1054">
        <v>59507347456</v>
      </c>
      <c r="N1054">
        <v>75489443840</v>
      </c>
      <c r="O1054">
        <v>98844753920</v>
      </c>
      <c r="P1054">
        <v>121609109504</v>
      </c>
    </row>
    <row r="1055" spans="1:16" ht="12.75">
      <c r="A1055" s="62" t="str">
        <f t="shared" si="16"/>
        <v>Romania_GDP per capita, PPP (current international $)</v>
      </c>
      <c r="B1055" t="s">
        <v>512</v>
      </c>
      <c r="C1055" t="s">
        <v>219</v>
      </c>
      <c r="D1055" t="s">
        <v>434</v>
      </c>
      <c r="E1055" t="s">
        <v>435</v>
      </c>
      <c r="F1055">
        <v>6088.73940031121</v>
      </c>
      <c r="G1055">
        <v>5826.57100611713</v>
      </c>
      <c r="H1055">
        <v>5621.88054374719</v>
      </c>
      <c r="I1055">
        <v>5645.96834822593</v>
      </c>
      <c r="J1055">
        <v>5894.12745361877</v>
      </c>
      <c r="K1055">
        <v>6469.8180197957</v>
      </c>
      <c r="L1055">
        <v>7023.13859928628</v>
      </c>
      <c r="M1055">
        <v>7559.89765494672</v>
      </c>
      <c r="N1055">
        <v>8432.12570511268</v>
      </c>
      <c r="O1055">
        <v>9063.74411966451</v>
      </c>
      <c r="P1055">
        <v>10090.6103116504</v>
      </c>
    </row>
    <row r="1056" spans="1:16" ht="12.75">
      <c r="A1056" s="62" t="str">
        <f t="shared" si="16"/>
        <v>Romania_GDP per capita, PPP (constant 2000 international $)</v>
      </c>
      <c r="B1056" t="s">
        <v>512</v>
      </c>
      <c r="C1056" t="s">
        <v>219</v>
      </c>
      <c r="D1056" t="s">
        <v>436</v>
      </c>
      <c r="E1056" t="s">
        <v>437</v>
      </c>
      <c r="F1056">
        <v>6488.07679859662</v>
      </c>
      <c r="G1056">
        <v>6106.71015151947</v>
      </c>
      <c r="H1056">
        <v>5827.4332354921</v>
      </c>
      <c r="I1056">
        <v>5769.04229020276</v>
      </c>
      <c r="J1056">
        <v>5894.12745361877</v>
      </c>
      <c r="K1056">
        <v>6317.63824959886</v>
      </c>
      <c r="L1056">
        <v>6739.99047715153</v>
      </c>
      <c r="M1056">
        <v>7110.39610567231</v>
      </c>
      <c r="N1056">
        <v>7727.9809607742</v>
      </c>
      <c r="O1056">
        <v>8063.6194117401</v>
      </c>
      <c r="P1056">
        <v>8721.79138313563</v>
      </c>
    </row>
    <row r="1057" spans="1:16" ht="12.75">
      <c r="A1057" s="62" t="str">
        <f t="shared" si="16"/>
        <v>Romania_GINI index</v>
      </c>
      <c r="B1057" t="s">
        <v>512</v>
      </c>
      <c r="C1057" t="s">
        <v>219</v>
      </c>
      <c r="D1057" t="s">
        <v>438</v>
      </c>
      <c r="E1057" t="s">
        <v>439</v>
      </c>
      <c r="F1057" t="s">
        <v>193</v>
      </c>
      <c r="G1057" t="s">
        <v>193</v>
      </c>
      <c r="H1057">
        <v>29.44</v>
      </c>
      <c r="I1057" t="s">
        <v>193</v>
      </c>
      <c r="J1057">
        <v>30.25</v>
      </c>
      <c r="K1057" t="s">
        <v>193</v>
      </c>
      <c r="L1057" t="s">
        <v>193</v>
      </c>
      <c r="M1057">
        <v>31.046</v>
      </c>
      <c r="N1057" t="s">
        <v>193</v>
      </c>
      <c r="O1057" t="s">
        <v>193</v>
      </c>
      <c r="P1057" t="s">
        <v>193</v>
      </c>
    </row>
    <row r="1058" spans="1:16" ht="12.75">
      <c r="A1058" s="62" t="str">
        <f t="shared" si="16"/>
        <v>Russian Federation_Poverty headcount ratio at national poverty line (% of population)</v>
      </c>
      <c r="B1058" t="s">
        <v>513</v>
      </c>
      <c r="C1058" t="s">
        <v>220</v>
      </c>
      <c r="D1058" t="s">
        <v>408</v>
      </c>
      <c r="E1058" t="s">
        <v>409</v>
      </c>
      <c r="F1058" t="s">
        <v>193</v>
      </c>
      <c r="G1058" t="s">
        <v>193</v>
      </c>
      <c r="H1058" t="s">
        <v>193</v>
      </c>
      <c r="I1058" t="s">
        <v>193</v>
      </c>
      <c r="J1058" t="s">
        <v>193</v>
      </c>
      <c r="K1058" t="s">
        <v>193</v>
      </c>
      <c r="L1058" t="s">
        <v>193</v>
      </c>
      <c r="M1058" t="s">
        <v>193</v>
      </c>
      <c r="N1058" t="s">
        <v>193</v>
      </c>
      <c r="O1058" t="s">
        <v>193</v>
      </c>
      <c r="P1058" t="s">
        <v>193</v>
      </c>
    </row>
    <row r="1059" spans="1:16" ht="12.75">
      <c r="A1059" s="62" t="str">
        <f aca="true" t="shared" si="17" ref="A1059:A1122">C1059&amp;"_"&amp;E1059</f>
        <v>Russian Federation_Poverty headcount ratio at $2 a day (PPP) (% of population)</v>
      </c>
      <c r="B1059" t="s">
        <v>513</v>
      </c>
      <c r="C1059" t="s">
        <v>220</v>
      </c>
      <c r="D1059" t="s">
        <v>410</v>
      </c>
      <c r="E1059" t="s">
        <v>411</v>
      </c>
      <c r="F1059">
        <v>22.6</v>
      </c>
      <c r="G1059" t="s">
        <v>193</v>
      </c>
      <c r="H1059">
        <v>18.99</v>
      </c>
      <c r="I1059" t="s">
        <v>193</v>
      </c>
      <c r="J1059">
        <v>23.76</v>
      </c>
      <c r="K1059" t="s">
        <v>193</v>
      </c>
      <c r="L1059">
        <v>12.14</v>
      </c>
      <c r="M1059" t="s">
        <v>193</v>
      </c>
      <c r="N1059" t="s">
        <v>193</v>
      </c>
      <c r="O1059" t="s">
        <v>193</v>
      </c>
      <c r="P1059" t="s">
        <v>193</v>
      </c>
    </row>
    <row r="1060" spans="1:16" ht="12.75">
      <c r="A1060" s="62" t="str">
        <f t="shared" si="17"/>
        <v>Russian Federation_Poverty headcount ratio at $1 a day (PPP) (% of population)</v>
      </c>
      <c r="B1060" t="s">
        <v>513</v>
      </c>
      <c r="C1060" t="s">
        <v>220</v>
      </c>
      <c r="D1060" t="s">
        <v>412</v>
      </c>
      <c r="E1060" t="s">
        <v>413</v>
      </c>
      <c r="F1060">
        <v>6.97</v>
      </c>
      <c r="G1060" t="s">
        <v>193</v>
      </c>
      <c r="H1060">
        <v>2</v>
      </c>
      <c r="I1060" t="s">
        <v>193</v>
      </c>
      <c r="J1060">
        <v>6.14</v>
      </c>
      <c r="K1060" t="s">
        <v>193</v>
      </c>
      <c r="L1060">
        <v>2</v>
      </c>
      <c r="M1060" t="s">
        <v>193</v>
      </c>
      <c r="N1060" t="s">
        <v>193</v>
      </c>
      <c r="O1060" t="s">
        <v>193</v>
      </c>
      <c r="P1060" t="s">
        <v>193</v>
      </c>
    </row>
    <row r="1061" spans="1:16" ht="12.75">
      <c r="A1061" s="62" t="str">
        <f t="shared" si="17"/>
        <v>Russian Federation_Poverty gap at $1 a day (PPP) (%)</v>
      </c>
      <c r="B1061" t="s">
        <v>513</v>
      </c>
      <c r="C1061" t="s">
        <v>220</v>
      </c>
      <c r="D1061" t="s">
        <v>414</v>
      </c>
      <c r="E1061" t="s">
        <v>415</v>
      </c>
      <c r="F1061">
        <v>1.7</v>
      </c>
      <c r="G1061" t="s">
        <v>193</v>
      </c>
      <c r="H1061">
        <v>0.5</v>
      </c>
      <c r="I1061" t="s">
        <v>193</v>
      </c>
      <c r="J1061">
        <v>1.19</v>
      </c>
      <c r="K1061" t="s">
        <v>193</v>
      </c>
      <c r="L1061">
        <v>0.5</v>
      </c>
      <c r="M1061" t="s">
        <v>193</v>
      </c>
      <c r="N1061" t="s">
        <v>193</v>
      </c>
      <c r="O1061" t="s">
        <v>193</v>
      </c>
      <c r="P1061" t="s">
        <v>193</v>
      </c>
    </row>
    <row r="1062" spans="1:16" ht="12.75">
      <c r="A1062" s="62" t="str">
        <f t="shared" si="17"/>
        <v>Russian Federation_Poverty gap at $2 a day (PPP) (%)</v>
      </c>
      <c r="B1062" t="s">
        <v>513</v>
      </c>
      <c r="C1062" t="s">
        <v>220</v>
      </c>
      <c r="D1062" t="s">
        <v>416</v>
      </c>
      <c r="E1062" t="s">
        <v>417</v>
      </c>
      <c r="F1062">
        <v>8.18</v>
      </c>
      <c r="G1062" t="s">
        <v>193</v>
      </c>
      <c r="H1062">
        <v>3.67</v>
      </c>
      <c r="I1062" t="s">
        <v>193</v>
      </c>
      <c r="J1062">
        <v>7.98</v>
      </c>
      <c r="K1062" t="s">
        <v>193</v>
      </c>
      <c r="L1062">
        <v>3.09</v>
      </c>
      <c r="M1062" t="s">
        <v>193</v>
      </c>
      <c r="N1062" t="s">
        <v>193</v>
      </c>
      <c r="O1062" t="s">
        <v>193</v>
      </c>
      <c r="P1062" t="s">
        <v>193</v>
      </c>
    </row>
    <row r="1063" spans="1:16" ht="12.75">
      <c r="A1063" s="62" t="str">
        <f t="shared" si="17"/>
        <v>Russian Federation_Population, total</v>
      </c>
      <c r="B1063" t="s">
        <v>513</v>
      </c>
      <c r="C1063" t="s">
        <v>220</v>
      </c>
      <c r="D1063" t="s">
        <v>418</v>
      </c>
      <c r="E1063" t="s">
        <v>419</v>
      </c>
      <c r="F1063">
        <v>147739000</v>
      </c>
      <c r="G1063">
        <v>147304000</v>
      </c>
      <c r="H1063">
        <v>146899000</v>
      </c>
      <c r="I1063">
        <v>146309000</v>
      </c>
      <c r="J1063">
        <v>146303000</v>
      </c>
      <c r="K1063">
        <v>145949580.335128</v>
      </c>
      <c r="L1063">
        <v>145299690.295609</v>
      </c>
      <c r="M1063">
        <v>144599446.748596</v>
      </c>
      <c r="N1063">
        <v>143849574.208616</v>
      </c>
      <c r="O1063">
        <v>143113650</v>
      </c>
      <c r="P1063">
        <v>142367581.763212</v>
      </c>
    </row>
    <row r="1064" spans="1:16" ht="12.75">
      <c r="A1064" s="62" t="str">
        <f t="shared" si="17"/>
        <v>Russian Federation_Public spending on education, total (% of GDP)</v>
      </c>
      <c r="B1064" t="s">
        <v>513</v>
      </c>
      <c r="C1064" t="s">
        <v>220</v>
      </c>
      <c r="D1064" t="s">
        <v>420</v>
      </c>
      <c r="E1064" t="s">
        <v>421</v>
      </c>
      <c r="F1064" t="s">
        <v>193</v>
      </c>
      <c r="G1064" t="s">
        <v>193</v>
      </c>
      <c r="H1064" t="s">
        <v>193</v>
      </c>
      <c r="I1064" t="s">
        <v>193</v>
      </c>
      <c r="J1064">
        <v>2.93980691044019</v>
      </c>
      <c r="K1064">
        <v>3.1060178395768</v>
      </c>
      <c r="L1064">
        <v>3.83501716713126</v>
      </c>
      <c r="M1064">
        <v>3.66882627861367</v>
      </c>
      <c r="N1064">
        <v>3.55178513591049</v>
      </c>
      <c r="O1064" t="s">
        <v>193</v>
      </c>
      <c r="P1064" t="s">
        <v>193</v>
      </c>
    </row>
    <row r="1065" spans="1:16" ht="12.75">
      <c r="A1065" s="62" t="str">
        <f t="shared" si="17"/>
        <v>Russian Federation_Public spending on education, total (% of government expenditure)</v>
      </c>
      <c r="B1065" t="s">
        <v>513</v>
      </c>
      <c r="C1065" t="s">
        <v>220</v>
      </c>
      <c r="D1065" t="s">
        <v>422</v>
      </c>
      <c r="E1065" t="s">
        <v>423</v>
      </c>
      <c r="F1065" t="s">
        <v>193</v>
      </c>
      <c r="G1065" t="s">
        <v>193</v>
      </c>
      <c r="H1065" t="s">
        <v>193</v>
      </c>
      <c r="I1065" t="s">
        <v>193</v>
      </c>
      <c r="J1065">
        <v>10.6499731362939</v>
      </c>
      <c r="K1065">
        <v>11.4817650657188</v>
      </c>
      <c r="L1065">
        <v>10.6571065388399</v>
      </c>
      <c r="M1065">
        <v>12.2543682729537</v>
      </c>
      <c r="N1065">
        <v>12.9367564817887</v>
      </c>
      <c r="O1065" t="s">
        <v>193</v>
      </c>
      <c r="P1065" t="s">
        <v>193</v>
      </c>
    </row>
    <row r="1066" spans="1:16" ht="12.75">
      <c r="A1066" s="62" t="str">
        <f t="shared" si="17"/>
        <v>Russian Federation_Health expenditure, public (% of total health expenditure)</v>
      </c>
      <c r="B1066" t="s">
        <v>513</v>
      </c>
      <c r="C1066" t="s">
        <v>220</v>
      </c>
      <c r="D1066" t="s">
        <v>424</v>
      </c>
      <c r="E1066" t="s">
        <v>425</v>
      </c>
      <c r="F1066" t="s">
        <v>193</v>
      </c>
      <c r="G1066" t="s">
        <v>193</v>
      </c>
      <c r="H1066" t="s">
        <v>193</v>
      </c>
      <c r="I1066" t="s">
        <v>193</v>
      </c>
      <c r="J1066">
        <v>62.3</v>
      </c>
      <c r="K1066">
        <v>60.4</v>
      </c>
      <c r="L1066">
        <v>62.1</v>
      </c>
      <c r="M1066">
        <v>61.6</v>
      </c>
      <c r="N1066">
        <v>61.3</v>
      </c>
      <c r="O1066" t="s">
        <v>193</v>
      </c>
      <c r="P1066" t="s">
        <v>193</v>
      </c>
    </row>
    <row r="1067" spans="1:16" ht="12.75">
      <c r="A1067" s="62" t="str">
        <f t="shared" si="17"/>
        <v>Russian Federation_Health expenditure, public (% of GDP)</v>
      </c>
      <c r="B1067" t="s">
        <v>513</v>
      </c>
      <c r="C1067" t="s">
        <v>220</v>
      </c>
      <c r="D1067" t="s">
        <v>426</v>
      </c>
      <c r="E1067" t="s">
        <v>427</v>
      </c>
      <c r="F1067" t="s">
        <v>193</v>
      </c>
      <c r="G1067" t="s">
        <v>193</v>
      </c>
      <c r="H1067" t="s">
        <v>193</v>
      </c>
      <c r="I1067" t="s">
        <v>193</v>
      </c>
      <c r="J1067">
        <v>3.5511</v>
      </c>
      <c r="K1067">
        <v>3.5636</v>
      </c>
      <c r="L1067">
        <v>3.9744</v>
      </c>
      <c r="M1067">
        <v>3.8808</v>
      </c>
      <c r="N1067">
        <v>3.678</v>
      </c>
      <c r="O1067" t="s">
        <v>193</v>
      </c>
      <c r="P1067" t="s">
        <v>193</v>
      </c>
    </row>
    <row r="1068" spans="1:16" ht="12.75">
      <c r="A1068" s="62" t="str">
        <f t="shared" si="17"/>
        <v>Russian Federation_Health expenditure, total (% of GDP)</v>
      </c>
      <c r="B1068" t="s">
        <v>513</v>
      </c>
      <c r="C1068" t="s">
        <v>220</v>
      </c>
      <c r="D1068" t="s">
        <v>428</v>
      </c>
      <c r="E1068" t="s">
        <v>429</v>
      </c>
      <c r="F1068" t="s">
        <v>193</v>
      </c>
      <c r="G1068" t="s">
        <v>193</v>
      </c>
      <c r="H1068" t="s">
        <v>193</v>
      </c>
      <c r="I1068" t="s">
        <v>193</v>
      </c>
      <c r="J1068">
        <v>5.7</v>
      </c>
      <c r="K1068">
        <v>5.9</v>
      </c>
      <c r="L1068">
        <v>6.4</v>
      </c>
      <c r="M1068">
        <v>6.3</v>
      </c>
      <c r="N1068">
        <v>6</v>
      </c>
      <c r="O1068" t="s">
        <v>193</v>
      </c>
      <c r="P1068" t="s">
        <v>193</v>
      </c>
    </row>
    <row r="1069" spans="1:16" ht="12.75">
      <c r="A1069" s="62" t="str">
        <f t="shared" si="17"/>
        <v>Russian Federation_GDP (current LCU)</v>
      </c>
      <c r="B1069" t="s">
        <v>513</v>
      </c>
      <c r="C1069" t="s">
        <v>220</v>
      </c>
      <c r="D1069" t="s">
        <v>430</v>
      </c>
      <c r="E1069" t="s">
        <v>431</v>
      </c>
      <c r="F1069">
        <v>2007799955456</v>
      </c>
      <c r="G1069">
        <v>2342499909632</v>
      </c>
      <c r="H1069">
        <v>2629600018432</v>
      </c>
      <c r="I1069">
        <v>4823200038912</v>
      </c>
      <c r="J1069">
        <v>7305599909888</v>
      </c>
      <c r="K1069">
        <v>8943600402432</v>
      </c>
      <c r="L1069">
        <v>10830500331520</v>
      </c>
      <c r="M1069">
        <v>13243200307200</v>
      </c>
      <c r="N1069">
        <v>17048099880960</v>
      </c>
      <c r="O1069">
        <v>21620099907584</v>
      </c>
      <c r="P1069">
        <v>26781100802048</v>
      </c>
    </row>
    <row r="1070" spans="1:16" ht="12.75">
      <c r="A1070" s="62" t="str">
        <f t="shared" si="17"/>
        <v>Russian Federation_GDP (current US$)</v>
      </c>
      <c r="B1070" t="s">
        <v>513</v>
      </c>
      <c r="C1070" t="s">
        <v>220</v>
      </c>
      <c r="D1070" t="s">
        <v>432</v>
      </c>
      <c r="E1070" t="s">
        <v>433</v>
      </c>
      <c r="F1070">
        <v>391721385984</v>
      </c>
      <c r="G1070">
        <v>404926529536</v>
      </c>
      <c r="H1070">
        <v>270953119744</v>
      </c>
      <c r="I1070">
        <v>195905765376</v>
      </c>
      <c r="J1070">
        <v>259708502016</v>
      </c>
      <c r="K1070">
        <v>306602672128</v>
      </c>
      <c r="L1070">
        <v>345470500864</v>
      </c>
      <c r="M1070">
        <v>431487025152</v>
      </c>
      <c r="N1070">
        <v>591742435328</v>
      </c>
      <c r="O1070">
        <v>764501426176</v>
      </c>
      <c r="P1070">
        <v>986939588608</v>
      </c>
    </row>
    <row r="1071" spans="1:16" ht="12.75">
      <c r="A1071" s="62" t="str">
        <f t="shared" si="17"/>
        <v>Russian Federation_GDP per capita, PPP (current international $)</v>
      </c>
      <c r="B1071" t="s">
        <v>513</v>
      </c>
      <c r="C1071" t="s">
        <v>220</v>
      </c>
      <c r="D1071" t="s">
        <v>434</v>
      </c>
      <c r="E1071" t="s">
        <v>435</v>
      </c>
      <c r="F1071">
        <v>5795.54910171705</v>
      </c>
      <c r="G1071">
        <v>5992.49249280443</v>
      </c>
      <c r="H1071">
        <v>5753.760117553</v>
      </c>
      <c r="I1071">
        <v>6235.50435979555</v>
      </c>
      <c r="J1071">
        <v>7008.85982699487</v>
      </c>
      <c r="K1071">
        <v>7561.44248762352</v>
      </c>
      <c r="L1071">
        <v>8092.02562382668</v>
      </c>
      <c r="M1071">
        <v>8902.36052778514</v>
      </c>
      <c r="N1071">
        <v>9844.80101600223</v>
      </c>
      <c r="O1071">
        <v>10846.326575363</v>
      </c>
      <c r="P1071">
        <v>11974.3285589487</v>
      </c>
    </row>
    <row r="1072" spans="1:16" ht="12.75">
      <c r="A1072" s="62" t="str">
        <f t="shared" si="17"/>
        <v>Russian Federation_GDP per capita, PPP (constant 2000 international $)</v>
      </c>
      <c r="B1072" t="s">
        <v>513</v>
      </c>
      <c r="C1072" t="s">
        <v>220</v>
      </c>
      <c r="D1072" t="s">
        <v>436</v>
      </c>
      <c r="E1072" t="s">
        <v>437</v>
      </c>
      <c r="F1072">
        <v>6175.65725674776</v>
      </c>
      <c r="G1072">
        <v>6280.60907526807</v>
      </c>
      <c r="H1072">
        <v>5964.13471918571</v>
      </c>
      <c r="I1072">
        <v>6371.42933394369</v>
      </c>
      <c r="J1072">
        <v>7008.85982699487</v>
      </c>
      <c r="K1072">
        <v>7383.58608167788</v>
      </c>
      <c r="L1072">
        <v>7765.78375528579</v>
      </c>
      <c r="M1072">
        <v>8373.03790569642</v>
      </c>
      <c r="N1072">
        <v>9022.68745449865</v>
      </c>
      <c r="O1072">
        <v>9649.50558670522</v>
      </c>
      <c r="P1072">
        <v>10349.9780903928</v>
      </c>
    </row>
    <row r="1073" spans="1:16" ht="12.75">
      <c r="A1073" s="62" t="str">
        <f t="shared" si="17"/>
        <v>Russian Federation_GINI index</v>
      </c>
      <c r="B1073" t="s">
        <v>513</v>
      </c>
      <c r="C1073" t="s">
        <v>220</v>
      </c>
      <c r="D1073" t="s">
        <v>438</v>
      </c>
      <c r="E1073" t="s">
        <v>439</v>
      </c>
      <c r="F1073">
        <v>46.15</v>
      </c>
      <c r="G1073" t="s">
        <v>193</v>
      </c>
      <c r="H1073">
        <v>44.44</v>
      </c>
      <c r="I1073" t="s">
        <v>193</v>
      </c>
      <c r="J1073">
        <v>45.62</v>
      </c>
      <c r="K1073" t="s">
        <v>193</v>
      </c>
      <c r="L1073">
        <v>39.93</v>
      </c>
      <c r="M1073" t="s">
        <v>193</v>
      </c>
      <c r="N1073" t="s">
        <v>193</v>
      </c>
      <c r="O1073" t="s">
        <v>193</v>
      </c>
      <c r="P1073" t="s">
        <v>193</v>
      </c>
    </row>
    <row r="1074" spans="1:16" ht="12.75">
      <c r="A1074" s="62" t="str">
        <f t="shared" si="17"/>
        <v>Senegal_Poverty headcount ratio at national poverty line (% of population)</v>
      </c>
      <c r="B1074" t="s">
        <v>514</v>
      </c>
      <c r="C1074" t="s">
        <v>138</v>
      </c>
      <c r="D1074" t="s">
        <v>408</v>
      </c>
      <c r="E1074" t="s">
        <v>409</v>
      </c>
      <c r="F1074" t="s">
        <v>193</v>
      </c>
      <c r="G1074" t="s">
        <v>193</v>
      </c>
      <c r="H1074" t="s">
        <v>193</v>
      </c>
      <c r="I1074" t="s">
        <v>193</v>
      </c>
      <c r="J1074" t="s">
        <v>193</v>
      </c>
      <c r="K1074" t="s">
        <v>193</v>
      </c>
      <c r="L1074" t="s">
        <v>193</v>
      </c>
      <c r="M1074" t="s">
        <v>193</v>
      </c>
      <c r="N1074" t="s">
        <v>193</v>
      </c>
      <c r="O1074" t="s">
        <v>193</v>
      </c>
      <c r="P1074" t="s">
        <v>193</v>
      </c>
    </row>
    <row r="1075" spans="1:16" ht="12.75">
      <c r="A1075" s="62" t="str">
        <f t="shared" si="17"/>
        <v>Senegal_Poverty headcount ratio at $2 a day (PPP) (% of population)</v>
      </c>
      <c r="B1075" t="s">
        <v>514</v>
      </c>
      <c r="C1075" t="s">
        <v>138</v>
      </c>
      <c r="D1075" t="s">
        <v>410</v>
      </c>
      <c r="E1075" t="s">
        <v>411</v>
      </c>
      <c r="F1075" t="s">
        <v>193</v>
      </c>
      <c r="G1075" t="s">
        <v>193</v>
      </c>
      <c r="H1075" t="s">
        <v>193</v>
      </c>
      <c r="I1075" t="s">
        <v>193</v>
      </c>
      <c r="J1075" t="s">
        <v>193</v>
      </c>
      <c r="K1075">
        <v>56.17</v>
      </c>
      <c r="L1075" t="s">
        <v>193</v>
      </c>
      <c r="M1075" t="s">
        <v>193</v>
      </c>
      <c r="N1075" t="s">
        <v>193</v>
      </c>
      <c r="O1075" t="s">
        <v>193</v>
      </c>
      <c r="P1075" t="s">
        <v>193</v>
      </c>
    </row>
    <row r="1076" spans="1:16" ht="12.75">
      <c r="A1076" s="62" t="str">
        <f t="shared" si="17"/>
        <v>Senegal_Poverty headcount ratio at $1 a day (PPP) (% of population)</v>
      </c>
      <c r="B1076" t="s">
        <v>514</v>
      </c>
      <c r="C1076" t="s">
        <v>138</v>
      </c>
      <c r="D1076" t="s">
        <v>412</v>
      </c>
      <c r="E1076" t="s">
        <v>413</v>
      </c>
      <c r="F1076" t="s">
        <v>193</v>
      </c>
      <c r="G1076" t="s">
        <v>193</v>
      </c>
      <c r="H1076" t="s">
        <v>193</v>
      </c>
      <c r="I1076" t="s">
        <v>193</v>
      </c>
      <c r="J1076" t="s">
        <v>193</v>
      </c>
      <c r="K1076">
        <v>17.01</v>
      </c>
      <c r="L1076" t="s">
        <v>193</v>
      </c>
      <c r="M1076" t="s">
        <v>193</v>
      </c>
      <c r="N1076" t="s">
        <v>193</v>
      </c>
      <c r="O1076" t="s">
        <v>193</v>
      </c>
      <c r="P1076" t="s">
        <v>193</v>
      </c>
    </row>
    <row r="1077" spans="1:16" ht="12.75">
      <c r="A1077" s="62" t="str">
        <f t="shared" si="17"/>
        <v>Senegal_Poverty gap at $1 a day (PPP) (%)</v>
      </c>
      <c r="B1077" t="s">
        <v>514</v>
      </c>
      <c r="C1077" t="s">
        <v>138</v>
      </c>
      <c r="D1077" t="s">
        <v>414</v>
      </c>
      <c r="E1077" t="s">
        <v>415</v>
      </c>
      <c r="F1077" t="s">
        <v>193</v>
      </c>
      <c r="G1077" t="s">
        <v>193</v>
      </c>
      <c r="H1077" t="s">
        <v>193</v>
      </c>
      <c r="I1077" t="s">
        <v>193</v>
      </c>
      <c r="J1077" t="s">
        <v>193</v>
      </c>
      <c r="K1077">
        <v>3.62</v>
      </c>
      <c r="L1077" t="s">
        <v>193</v>
      </c>
      <c r="M1077" t="s">
        <v>193</v>
      </c>
      <c r="N1077" t="s">
        <v>193</v>
      </c>
      <c r="O1077" t="s">
        <v>193</v>
      </c>
      <c r="P1077" t="s">
        <v>193</v>
      </c>
    </row>
    <row r="1078" spans="1:16" ht="12.75">
      <c r="A1078" s="62" t="str">
        <f t="shared" si="17"/>
        <v>Senegal_Poverty gap at $2 a day (PPP) (%)</v>
      </c>
      <c r="B1078" t="s">
        <v>514</v>
      </c>
      <c r="C1078" t="s">
        <v>138</v>
      </c>
      <c r="D1078" t="s">
        <v>416</v>
      </c>
      <c r="E1078" t="s">
        <v>417</v>
      </c>
      <c r="F1078" t="s">
        <v>193</v>
      </c>
      <c r="G1078" t="s">
        <v>193</v>
      </c>
      <c r="H1078" t="s">
        <v>193</v>
      </c>
      <c r="I1078" t="s">
        <v>193</v>
      </c>
      <c r="J1078" t="s">
        <v>193</v>
      </c>
      <c r="K1078">
        <v>20.85</v>
      </c>
      <c r="L1078" t="s">
        <v>193</v>
      </c>
      <c r="M1078" t="s">
        <v>193</v>
      </c>
      <c r="N1078" t="s">
        <v>193</v>
      </c>
      <c r="O1078" t="s">
        <v>193</v>
      </c>
      <c r="P1078" t="s">
        <v>193</v>
      </c>
    </row>
    <row r="1079" spans="1:16" ht="12.75">
      <c r="A1079" s="62" t="str">
        <f t="shared" si="17"/>
        <v>Senegal_Population, total</v>
      </c>
      <c r="B1079" t="s">
        <v>514</v>
      </c>
      <c r="C1079" t="s">
        <v>138</v>
      </c>
      <c r="D1079" t="s">
        <v>418</v>
      </c>
      <c r="E1079" t="s">
        <v>419</v>
      </c>
      <c r="F1079">
        <v>9356929</v>
      </c>
      <c r="G1079">
        <v>9598044</v>
      </c>
      <c r="H1079">
        <v>9842827</v>
      </c>
      <c r="I1079">
        <v>10091116</v>
      </c>
      <c r="J1079">
        <v>10342831</v>
      </c>
      <c r="K1079">
        <v>10597838</v>
      </c>
      <c r="L1079">
        <v>10856300</v>
      </c>
      <c r="M1079">
        <v>11118755</v>
      </c>
      <c r="N1079">
        <v>11385913</v>
      </c>
      <c r="O1079">
        <v>11658172</v>
      </c>
      <c r="P1079">
        <v>11928141.2859261</v>
      </c>
    </row>
    <row r="1080" spans="1:16" ht="12.75">
      <c r="A1080" s="62" t="str">
        <f t="shared" si="17"/>
        <v>Senegal_Public spending on education, total (% of GDP)</v>
      </c>
      <c r="B1080" t="s">
        <v>514</v>
      </c>
      <c r="C1080" t="s">
        <v>138</v>
      </c>
      <c r="D1080" t="s">
        <v>420</v>
      </c>
      <c r="E1080" t="s">
        <v>421</v>
      </c>
      <c r="F1080" t="s">
        <v>193</v>
      </c>
      <c r="G1080" t="s">
        <v>193</v>
      </c>
      <c r="H1080" t="s">
        <v>193</v>
      </c>
      <c r="I1080">
        <v>3.40941283103805</v>
      </c>
      <c r="J1080">
        <v>3.37861448405526</v>
      </c>
      <c r="K1080">
        <v>3.52404575819556</v>
      </c>
      <c r="L1080">
        <v>3.63114257644941</v>
      </c>
      <c r="M1080" t="s">
        <v>193</v>
      </c>
      <c r="N1080">
        <v>4.0591758026775</v>
      </c>
      <c r="O1080">
        <v>5.37751620072159</v>
      </c>
      <c r="P1080" t="s">
        <v>193</v>
      </c>
    </row>
    <row r="1081" spans="1:16" ht="12.75">
      <c r="A1081" s="62" t="str">
        <f t="shared" si="17"/>
        <v>Senegal_Public spending on education, total (% of government expenditure)</v>
      </c>
      <c r="B1081" t="s">
        <v>514</v>
      </c>
      <c r="C1081" t="s">
        <v>138</v>
      </c>
      <c r="D1081" t="s">
        <v>422</v>
      </c>
      <c r="E1081" t="s">
        <v>423</v>
      </c>
      <c r="F1081" t="s">
        <v>193</v>
      </c>
      <c r="G1081" t="s">
        <v>193</v>
      </c>
      <c r="H1081" t="s">
        <v>193</v>
      </c>
      <c r="I1081" t="s">
        <v>193</v>
      </c>
      <c r="J1081" t="s">
        <v>193</v>
      </c>
      <c r="K1081" t="s">
        <v>193</v>
      </c>
      <c r="L1081" t="s">
        <v>193</v>
      </c>
      <c r="M1081" t="s">
        <v>193</v>
      </c>
      <c r="N1081" t="s">
        <v>193</v>
      </c>
      <c r="O1081">
        <v>18.9253970800578</v>
      </c>
      <c r="P1081" t="s">
        <v>193</v>
      </c>
    </row>
    <row r="1082" spans="1:16" ht="12.75">
      <c r="A1082" s="62" t="str">
        <f t="shared" si="17"/>
        <v>Senegal_Health expenditure, public (% of total health expenditure)</v>
      </c>
      <c r="B1082" t="s">
        <v>514</v>
      </c>
      <c r="C1082" t="s">
        <v>138</v>
      </c>
      <c r="D1082" t="s">
        <v>424</v>
      </c>
      <c r="E1082" t="s">
        <v>425</v>
      </c>
      <c r="F1082" t="s">
        <v>193</v>
      </c>
      <c r="G1082" t="s">
        <v>193</v>
      </c>
      <c r="H1082" t="s">
        <v>193</v>
      </c>
      <c r="I1082" t="s">
        <v>193</v>
      </c>
      <c r="J1082">
        <v>37.2</v>
      </c>
      <c r="K1082">
        <v>38</v>
      </c>
      <c r="L1082">
        <v>39.4</v>
      </c>
      <c r="M1082">
        <v>38.5</v>
      </c>
      <c r="N1082">
        <v>40.3</v>
      </c>
      <c r="O1082" t="s">
        <v>193</v>
      </c>
      <c r="P1082" t="s">
        <v>193</v>
      </c>
    </row>
    <row r="1083" spans="1:16" ht="12.75">
      <c r="A1083" s="62" t="str">
        <f t="shared" si="17"/>
        <v>Senegal_Health expenditure, public (% of GDP)</v>
      </c>
      <c r="B1083" t="s">
        <v>514</v>
      </c>
      <c r="C1083" t="s">
        <v>138</v>
      </c>
      <c r="D1083" t="s">
        <v>426</v>
      </c>
      <c r="E1083" t="s">
        <v>427</v>
      </c>
      <c r="F1083" t="s">
        <v>193</v>
      </c>
      <c r="G1083" t="s">
        <v>193</v>
      </c>
      <c r="H1083" t="s">
        <v>193</v>
      </c>
      <c r="I1083" t="s">
        <v>193</v>
      </c>
      <c r="J1083">
        <v>1.674</v>
      </c>
      <c r="K1083">
        <v>1.786</v>
      </c>
      <c r="L1083">
        <v>2.0882</v>
      </c>
      <c r="M1083">
        <v>2.1175</v>
      </c>
      <c r="N1083">
        <v>2.3777</v>
      </c>
      <c r="O1083" t="s">
        <v>193</v>
      </c>
      <c r="P1083" t="s">
        <v>193</v>
      </c>
    </row>
    <row r="1084" spans="1:16" ht="12.75">
      <c r="A1084" s="62" t="str">
        <f t="shared" si="17"/>
        <v>Senegal_Health expenditure, total (% of GDP)</v>
      </c>
      <c r="B1084" t="s">
        <v>514</v>
      </c>
      <c r="C1084" t="s">
        <v>138</v>
      </c>
      <c r="D1084" t="s">
        <v>428</v>
      </c>
      <c r="E1084" t="s">
        <v>429</v>
      </c>
      <c r="F1084" t="s">
        <v>193</v>
      </c>
      <c r="G1084" t="s">
        <v>193</v>
      </c>
      <c r="H1084" t="s">
        <v>193</v>
      </c>
      <c r="I1084" t="s">
        <v>193</v>
      </c>
      <c r="J1084">
        <v>4.5</v>
      </c>
      <c r="K1084">
        <v>4.7</v>
      </c>
      <c r="L1084">
        <v>5.3</v>
      </c>
      <c r="M1084">
        <v>5.5</v>
      </c>
      <c r="N1084">
        <v>5.9</v>
      </c>
      <c r="O1084" t="s">
        <v>193</v>
      </c>
      <c r="P1084" t="s">
        <v>193</v>
      </c>
    </row>
    <row r="1085" spans="1:16" ht="12.75">
      <c r="A1085" s="62" t="str">
        <f t="shared" si="17"/>
        <v>Senegal_GDP (current LCU)</v>
      </c>
      <c r="B1085" t="s">
        <v>514</v>
      </c>
      <c r="C1085" t="s">
        <v>138</v>
      </c>
      <c r="D1085" t="s">
        <v>430</v>
      </c>
      <c r="E1085" t="s">
        <v>431</v>
      </c>
      <c r="F1085">
        <v>2371682828288</v>
      </c>
      <c r="G1085">
        <v>2553177964544</v>
      </c>
      <c r="H1085">
        <v>2744666554368</v>
      </c>
      <c r="I1085">
        <v>2925196476416</v>
      </c>
      <c r="J1085">
        <v>3113702391808</v>
      </c>
      <c r="K1085">
        <v>3342730002432</v>
      </c>
      <c r="L1085">
        <v>3472722755584</v>
      </c>
      <c r="M1085">
        <v>3725382909952</v>
      </c>
      <c r="N1085">
        <v>4029176086528</v>
      </c>
      <c r="O1085">
        <v>4345508134912</v>
      </c>
      <c r="P1085">
        <v>4672662798336</v>
      </c>
    </row>
    <row r="1086" spans="1:16" ht="12.75">
      <c r="A1086" s="62" t="str">
        <f t="shared" si="17"/>
        <v>Senegal_GDP (current US$)</v>
      </c>
      <c r="B1086" t="s">
        <v>514</v>
      </c>
      <c r="C1086" t="s">
        <v>138</v>
      </c>
      <c r="D1086" t="s">
        <v>432</v>
      </c>
      <c r="E1086" t="s">
        <v>433</v>
      </c>
      <c r="F1086">
        <v>4636247552</v>
      </c>
      <c r="G1086">
        <v>4374127104</v>
      </c>
      <c r="H1086">
        <v>4678142976</v>
      </c>
      <c r="I1086">
        <v>4757253632</v>
      </c>
      <c r="J1086">
        <v>4373300736</v>
      </c>
      <c r="K1086">
        <v>4560098304</v>
      </c>
      <c r="L1086">
        <v>4982471168</v>
      </c>
      <c r="M1086">
        <v>6409812480</v>
      </c>
      <c r="N1086">
        <v>7626898432</v>
      </c>
      <c r="O1086">
        <v>8238429696</v>
      </c>
      <c r="P1086">
        <v>8936158208</v>
      </c>
    </row>
    <row r="1087" spans="1:16" ht="12.75">
      <c r="A1087" s="62" t="str">
        <f t="shared" si="17"/>
        <v>Senegal_GDP per capita, PPP (current international $)</v>
      </c>
      <c r="B1087" t="s">
        <v>514</v>
      </c>
      <c r="C1087" t="s">
        <v>138</v>
      </c>
      <c r="D1087" t="s">
        <v>434</v>
      </c>
      <c r="E1087" t="s">
        <v>435</v>
      </c>
      <c r="F1087">
        <v>1254.9999778963</v>
      </c>
      <c r="G1087">
        <v>1285.37889083271</v>
      </c>
      <c r="H1087">
        <v>1323.79245892819</v>
      </c>
      <c r="I1087">
        <v>1390.56847665316</v>
      </c>
      <c r="J1087">
        <v>1427.80962111872</v>
      </c>
      <c r="K1087">
        <v>1492.38947019341</v>
      </c>
      <c r="L1087">
        <v>1492.06167316518</v>
      </c>
      <c r="M1087">
        <v>1585.511215746</v>
      </c>
      <c r="N1087">
        <v>1677.53203852015</v>
      </c>
      <c r="O1087">
        <v>1780.05496028355</v>
      </c>
      <c r="P1087">
        <v>1849.54383519978</v>
      </c>
    </row>
    <row r="1088" spans="1:16" ht="12.75">
      <c r="A1088" s="62" t="str">
        <f t="shared" si="17"/>
        <v>Senegal_GDP per capita, PPP (constant 2000 international $)</v>
      </c>
      <c r="B1088" t="s">
        <v>514</v>
      </c>
      <c r="C1088" t="s">
        <v>138</v>
      </c>
      <c r="D1088" t="s">
        <v>436</v>
      </c>
      <c r="E1088" t="s">
        <v>437</v>
      </c>
      <c r="F1088">
        <v>1337.31068181569</v>
      </c>
      <c r="G1088">
        <v>1347.17938096971</v>
      </c>
      <c r="H1088">
        <v>1372.19425279892</v>
      </c>
      <c r="I1088">
        <v>1420.88085771073</v>
      </c>
      <c r="J1088">
        <v>1427.80962111872</v>
      </c>
      <c r="K1088">
        <v>1457.28624380847</v>
      </c>
      <c r="L1088">
        <v>1431.90702081233</v>
      </c>
      <c r="M1088">
        <v>1491.23880884332</v>
      </c>
      <c r="N1088">
        <v>1537.44572936241</v>
      </c>
      <c r="O1088">
        <v>1583.63757208958</v>
      </c>
      <c r="P1088">
        <v>1598.64814776885</v>
      </c>
    </row>
    <row r="1089" spans="1:16" ht="12.75">
      <c r="A1089" s="62" t="str">
        <f t="shared" si="17"/>
        <v>Senegal_GINI index</v>
      </c>
      <c r="B1089" t="s">
        <v>514</v>
      </c>
      <c r="C1089" t="s">
        <v>138</v>
      </c>
      <c r="D1089" t="s">
        <v>438</v>
      </c>
      <c r="E1089" t="s">
        <v>439</v>
      </c>
      <c r="F1089" t="s">
        <v>193</v>
      </c>
      <c r="G1089" t="s">
        <v>193</v>
      </c>
      <c r="H1089" t="s">
        <v>193</v>
      </c>
      <c r="I1089" t="s">
        <v>193</v>
      </c>
      <c r="J1089" t="s">
        <v>193</v>
      </c>
      <c r="K1089">
        <v>41.25</v>
      </c>
      <c r="L1089" t="s">
        <v>193</v>
      </c>
      <c r="M1089" t="s">
        <v>193</v>
      </c>
      <c r="N1089" t="s">
        <v>193</v>
      </c>
      <c r="O1089" t="s">
        <v>193</v>
      </c>
      <c r="P1089" t="s">
        <v>193</v>
      </c>
    </row>
    <row r="1090" spans="1:16" ht="12.75">
      <c r="A1090" s="62" t="str">
        <f t="shared" si="17"/>
        <v>Serbia_Poverty headcount ratio at national poverty line (% of population)</v>
      </c>
      <c r="B1090" t="s">
        <v>515</v>
      </c>
      <c r="C1090" t="s">
        <v>276</v>
      </c>
      <c r="D1090" t="s">
        <v>408</v>
      </c>
      <c r="E1090" t="s">
        <v>409</v>
      </c>
      <c r="F1090" t="s">
        <v>193</v>
      </c>
      <c r="G1090" t="s">
        <v>193</v>
      </c>
      <c r="H1090" t="s">
        <v>193</v>
      </c>
      <c r="I1090" t="s">
        <v>193</v>
      </c>
      <c r="J1090" t="s">
        <v>193</v>
      </c>
      <c r="K1090" t="s">
        <v>193</v>
      </c>
      <c r="L1090" t="s">
        <v>193</v>
      </c>
      <c r="M1090" t="s">
        <v>193</v>
      </c>
      <c r="N1090" t="s">
        <v>193</v>
      </c>
      <c r="O1090" t="s">
        <v>193</v>
      </c>
      <c r="P1090" t="s">
        <v>193</v>
      </c>
    </row>
    <row r="1091" spans="1:16" ht="12.75">
      <c r="A1091" s="62" t="str">
        <f t="shared" si="17"/>
        <v>Serbia_Poverty headcount ratio at $2 a day (PPP) (% of population)</v>
      </c>
      <c r="B1091" t="s">
        <v>515</v>
      </c>
      <c r="C1091" t="s">
        <v>276</v>
      </c>
      <c r="D1091" t="s">
        <v>410</v>
      </c>
      <c r="E1091" t="s">
        <v>411</v>
      </c>
      <c r="F1091" t="s">
        <v>193</v>
      </c>
      <c r="G1091" t="s">
        <v>193</v>
      </c>
      <c r="H1091" t="s">
        <v>193</v>
      </c>
      <c r="I1091" t="s">
        <v>193</v>
      </c>
      <c r="J1091" t="s">
        <v>193</v>
      </c>
      <c r="K1091" t="s">
        <v>193</v>
      </c>
      <c r="L1091" t="s">
        <v>193</v>
      </c>
      <c r="M1091" t="s">
        <v>193</v>
      </c>
      <c r="N1091" t="s">
        <v>193</v>
      </c>
      <c r="O1091" t="s">
        <v>193</v>
      </c>
      <c r="P1091" t="s">
        <v>193</v>
      </c>
    </row>
    <row r="1092" spans="1:16" ht="12.75">
      <c r="A1092" s="62" t="str">
        <f t="shared" si="17"/>
        <v>Serbia_Poverty headcount ratio at $1 a day (PPP) (% of population)</v>
      </c>
      <c r="B1092" t="s">
        <v>515</v>
      </c>
      <c r="C1092" t="s">
        <v>276</v>
      </c>
      <c r="D1092" t="s">
        <v>412</v>
      </c>
      <c r="E1092" t="s">
        <v>413</v>
      </c>
      <c r="F1092" t="s">
        <v>193</v>
      </c>
      <c r="G1092" t="s">
        <v>193</v>
      </c>
      <c r="H1092" t="s">
        <v>193</v>
      </c>
      <c r="I1092" t="s">
        <v>193</v>
      </c>
      <c r="J1092" t="s">
        <v>193</v>
      </c>
      <c r="K1092" t="s">
        <v>193</v>
      </c>
      <c r="L1092" t="s">
        <v>193</v>
      </c>
      <c r="M1092" t="s">
        <v>193</v>
      </c>
      <c r="N1092" t="s">
        <v>193</v>
      </c>
      <c r="O1092" t="s">
        <v>193</v>
      </c>
      <c r="P1092" t="s">
        <v>193</v>
      </c>
    </row>
    <row r="1093" spans="1:16" ht="12.75">
      <c r="A1093" s="62" t="str">
        <f t="shared" si="17"/>
        <v>Serbia_Poverty gap at $1 a day (PPP) (%)</v>
      </c>
      <c r="B1093" t="s">
        <v>515</v>
      </c>
      <c r="C1093" t="s">
        <v>276</v>
      </c>
      <c r="D1093" t="s">
        <v>414</v>
      </c>
      <c r="E1093" t="s">
        <v>415</v>
      </c>
      <c r="F1093" t="s">
        <v>193</v>
      </c>
      <c r="G1093" t="s">
        <v>193</v>
      </c>
      <c r="H1093" t="s">
        <v>193</v>
      </c>
      <c r="I1093" t="s">
        <v>193</v>
      </c>
      <c r="J1093" t="s">
        <v>193</v>
      </c>
      <c r="K1093" t="s">
        <v>193</v>
      </c>
      <c r="L1093" t="s">
        <v>193</v>
      </c>
      <c r="M1093" t="s">
        <v>193</v>
      </c>
      <c r="N1093" t="s">
        <v>193</v>
      </c>
      <c r="O1093" t="s">
        <v>193</v>
      </c>
      <c r="P1093" t="s">
        <v>193</v>
      </c>
    </row>
    <row r="1094" spans="1:16" ht="12.75">
      <c r="A1094" s="62" t="str">
        <f t="shared" si="17"/>
        <v>Serbia_Poverty gap at $2 a day (PPP) (%)</v>
      </c>
      <c r="B1094" t="s">
        <v>515</v>
      </c>
      <c r="C1094" t="s">
        <v>276</v>
      </c>
      <c r="D1094" t="s">
        <v>416</v>
      </c>
      <c r="E1094" t="s">
        <v>417</v>
      </c>
      <c r="F1094" t="s">
        <v>193</v>
      </c>
      <c r="G1094" t="s">
        <v>193</v>
      </c>
      <c r="H1094" t="s">
        <v>193</v>
      </c>
      <c r="I1094" t="s">
        <v>193</v>
      </c>
      <c r="J1094" t="s">
        <v>193</v>
      </c>
      <c r="K1094" t="s">
        <v>193</v>
      </c>
      <c r="L1094" t="s">
        <v>193</v>
      </c>
      <c r="M1094" t="s">
        <v>193</v>
      </c>
      <c r="N1094" t="s">
        <v>193</v>
      </c>
      <c r="O1094" t="s">
        <v>193</v>
      </c>
      <c r="P1094" t="s">
        <v>193</v>
      </c>
    </row>
    <row r="1095" spans="1:16" ht="12.75">
      <c r="A1095" s="62" t="str">
        <f t="shared" si="17"/>
        <v>Serbia_Population, total</v>
      </c>
      <c r="B1095" t="s">
        <v>515</v>
      </c>
      <c r="C1095" t="s">
        <v>276</v>
      </c>
      <c r="D1095" t="s">
        <v>418</v>
      </c>
      <c r="E1095" t="s">
        <v>419</v>
      </c>
      <c r="F1095" t="s">
        <v>193</v>
      </c>
      <c r="G1095" t="s">
        <v>193</v>
      </c>
      <c r="H1095">
        <v>7567745</v>
      </c>
      <c r="I1095">
        <v>7540401</v>
      </c>
      <c r="J1095">
        <v>7516346</v>
      </c>
      <c r="K1095">
        <v>7503433</v>
      </c>
      <c r="L1095">
        <v>7500031</v>
      </c>
      <c r="M1095">
        <v>7480591</v>
      </c>
      <c r="N1095">
        <v>7463157</v>
      </c>
      <c r="O1095">
        <v>7440769</v>
      </c>
      <c r="P1095">
        <v>7439000</v>
      </c>
    </row>
    <row r="1096" spans="1:16" ht="12.75">
      <c r="A1096" s="62" t="str">
        <f t="shared" si="17"/>
        <v>Serbia_Public spending on education, total (% of GDP)</v>
      </c>
      <c r="B1096" t="s">
        <v>515</v>
      </c>
      <c r="C1096" t="s">
        <v>276</v>
      </c>
      <c r="D1096" t="s">
        <v>420</v>
      </c>
      <c r="E1096" t="s">
        <v>421</v>
      </c>
      <c r="F1096" t="s">
        <v>193</v>
      </c>
      <c r="G1096" t="s">
        <v>193</v>
      </c>
      <c r="H1096" t="s">
        <v>193</v>
      </c>
      <c r="I1096" t="s">
        <v>193</v>
      </c>
      <c r="J1096" t="s">
        <v>193</v>
      </c>
      <c r="K1096" t="s">
        <v>193</v>
      </c>
      <c r="L1096" t="s">
        <v>193</v>
      </c>
      <c r="M1096" t="s">
        <v>193</v>
      </c>
      <c r="N1096" t="s">
        <v>193</v>
      </c>
      <c r="O1096" t="s">
        <v>193</v>
      </c>
      <c r="P1096" t="s">
        <v>193</v>
      </c>
    </row>
    <row r="1097" spans="1:16" ht="12.75">
      <c r="A1097" s="62" t="str">
        <f t="shared" si="17"/>
        <v>Serbia_Public spending on education, total (% of government expenditure)</v>
      </c>
      <c r="B1097" t="s">
        <v>515</v>
      </c>
      <c r="C1097" t="s">
        <v>276</v>
      </c>
      <c r="D1097" t="s">
        <v>422</v>
      </c>
      <c r="E1097" t="s">
        <v>423</v>
      </c>
      <c r="F1097" t="s">
        <v>193</v>
      </c>
      <c r="G1097" t="s">
        <v>193</v>
      </c>
      <c r="H1097" t="s">
        <v>193</v>
      </c>
      <c r="I1097" t="s">
        <v>193</v>
      </c>
      <c r="J1097" t="s">
        <v>193</v>
      </c>
      <c r="K1097" t="s">
        <v>193</v>
      </c>
      <c r="L1097" t="s">
        <v>193</v>
      </c>
      <c r="M1097" t="s">
        <v>193</v>
      </c>
      <c r="N1097" t="s">
        <v>193</v>
      </c>
      <c r="O1097" t="s">
        <v>193</v>
      </c>
      <c r="P1097" t="s">
        <v>193</v>
      </c>
    </row>
    <row r="1098" spans="1:16" ht="12.75">
      <c r="A1098" s="62" t="str">
        <f t="shared" si="17"/>
        <v>Serbia_Health expenditure, public (% of total health expenditure)</v>
      </c>
      <c r="B1098" t="s">
        <v>515</v>
      </c>
      <c r="C1098" t="s">
        <v>276</v>
      </c>
      <c r="D1098" t="s">
        <v>424</v>
      </c>
      <c r="E1098" t="s">
        <v>425</v>
      </c>
      <c r="F1098" t="s">
        <v>193</v>
      </c>
      <c r="G1098" t="s">
        <v>193</v>
      </c>
      <c r="H1098" t="s">
        <v>193</v>
      </c>
      <c r="I1098" t="s">
        <v>193</v>
      </c>
      <c r="J1098" t="s">
        <v>193</v>
      </c>
      <c r="K1098" t="s">
        <v>193</v>
      </c>
      <c r="L1098" t="s">
        <v>193</v>
      </c>
      <c r="M1098" t="s">
        <v>193</v>
      </c>
      <c r="N1098" t="s">
        <v>193</v>
      </c>
      <c r="O1098" t="s">
        <v>193</v>
      </c>
      <c r="P1098" t="s">
        <v>193</v>
      </c>
    </row>
    <row r="1099" spans="1:16" ht="12.75">
      <c r="A1099" s="62" t="str">
        <f t="shared" si="17"/>
        <v>Serbia_Health expenditure, public (% of GDP)</v>
      </c>
      <c r="B1099" t="s">
        <v>515</v>
      </c>
      <c r="C1099" t="s">
        <v>276</v>
      </c>
      <c r="D1099" t="s">
        <v>426</v>
      </c>
      <c r="E1099" t="s">
        <v>427</v>
      </c>
      <c r="F1099" t="s">
        <v>193</v>
      </c>
      <c r="G1099" t="s">
        <v>193</v>
      </c>
      <c r="H1099" t="s">
        <v>193</v>
      </c>
      <c r="I1099" t="s">
        <v>193</v>
      </c>
      <c r="J1099" t="s">
        <v>193</v>
      </c>
      <c r="K1099" t="s">
        <v>193</v>
      </c>
      <c r="L1099" t="s">
        <v>193</v>
      </c>
      <c r="M1099" t="s">
        <v>193</v>
      </c>
      <c r="N1099" t="s">
        <v>193</v>
      </c>
      <c r="O1099" t="s">
        <v>193</v>
      </c>
      <c r="P1099" t="s">
        <v>193</v>
      </c>
    </row>
    <row r="1100" spans="1:16" ht="12.75">
      <c r="A1100" s="62" t="str">
        <f t="shared" si="17"/>
        <v>Serbia_Health expenditure, total (% of GDP)</v>
      </c>
      <c r="B1100" t="s">
        <v>515</v>
      </c>
      <c r="C1100" t="s">
        <v>276</v>
      </c>
      <c r="D1100" t="s">
        <v>428</v>
      </c>
      <c r="E1100" t="s">
        <v>429</v>
      </c>
      <c r="F1100" t="s">
        <v>193</v>
      </c>
      <c r="G1100" t="s">
        <v>193</v>
      </c>
      <c r="H1100" t="s">
        <v>193</v>
      </c>
      <c r="I1100" t="s">
        <v>193</v>
      </c>
      <c r="J1100" t="s">
        <v>193</v>
      </c>
      <c r="K1100" t="s">
        <v>193</v>
      </c>
      <c r="L1100" t="s">
        <v>193</v>
      </c>
      <c r="M1100" t="s">
        <v>193</v>
      </c>
      <c r="N1100" t="s">
        <v>193</v>
      </c>
      <c r="O1100" t="s">
        <v>193</v>
      </c>
      <c r="P1100" t="s">
        <v>193</v>
      </c>
    </row>
    <row r="1101" spans="1:16" ht="12.75">
      <c r="A1101" s="62" t="str">
        <f t="shared" si="17"/>
        <v>Serbia_GDP (current LCU)</v>
      </c>
      <c r="B1101" t="s">
        <v>515</v>
      </c>
      <c r="C1101" t="s">
        <v>276</v>
      </c>
      <c r="D1101" t="s">
        <v>430</v>
      </c>
      <c r="E1101" t="s">
        <v>431</v>
      </c>
      <c r="F1101" t="s">
        <v>193</v>
      </c>
      <c r="G1101">
        <v>126410596352</v>
      </c>
      <c r="H1101">
        <v>169516695552</v>
      </c>
      <c r="I1101">
        <v>210232295424</v>
      </c>
      <c r="J1101">
        <v>397655605248</v>
      </c>
      <c r="K1101">
        <v>783896674304</v>
      </c>
      <c r="L1101">
        <v>1020116467712</v>
      </c>
      <c r="M1101">
        <v>1171563741184</v>
      </c>
      <c r="N1101">
        <v>1431313055744</v>
      </c>
      <c r="O1101">
        <v>1749999943680</v>
      </c>
      <c r="P1101">
        <v>2113059160064</v>
      </c>
    </row>
    <row r="1102" spans="1:16" ht="12.75">
      <c r="A1102" s="62" t="str">
        <f t="shared" si="17"/>
        <v>Serbia_GDP (current US$)</v>
      </c>
      <c r="B1102" t="s">
        <v>515</v>
      </c>
      <c r="C1102" t="s">
        <v>276</v>
      </c>
      <c r="D1102" t="s">
        <v>432</v>
      </c>
      <c r="E1102" t="s">
        <v>433</v>
      </c>
      <c r="F1102" t="s">
        <v>193</v>
      </c>
      <c r="G1102">
        <v>19681191936</v>
      </c>
      <c r="H1102">
        <v>16092646400</v>
      </c>
      <c r="I1102">
        <v>18030215168</v>
      </c>
      <c r="J1102">
        <v>6295007232</v>
      </c>
      <c r="K1102">
        <v>11715688448</v>
      </c>
      <c r="L1102">
        <v>16906140672</v>
      </c>
      <c r="M1102">
        <v>21071290368</v>
      </c>
      <c r="N1102">
        <v>24437649408</v>
      </c>
      <c r="O1102">
        <v>24157923328</v>
      </c>
      <c r="P1102">
        <v>31807612928</v>
      </c>
    </row>
    <row r="1103" spans="1:16" ht="12.75">
      <c r="A1103" s="62" t="str">
        <f t="shared" si="17"/>
        <v>Serbia_GDP per capita, PPP (current international $)</v>
      </c>
      <c r="B1103" t="s">
        <v>515</v>
      </c>
      <c r="C1103" t="s">
        <v>276</v>
      </c>
      <c r="D1103" t="s">
        <v>434</v>
      </c>
      <c r="E1103" t="s">
        <v>435</v>
      </c>
      <c r="F1103" t="s">
        <v>193</v>
      </c>
      <c r="G1103" t="s">
        <v>193</v>
      </c>
      <c r="H1103" t="s">
        <v>193</v>
      </c>
      <c r="I1103" t="s">
        <v>193</v>
      </c>
      <c r="J1103" t="s">
        <v>193</v>
      </c>
      <c r="K1103" t="s">
        <v>193</v>
      </c>
      <c r="L1103" t="s">
        <v>193</v>
      </c>
      <c r="M1103" t="s">
        <v>193</v>
      </c>
      <c r="N1103" t="s">
        <v>193</v>
      </c>
      <c r="O1103" t="s">
        <v>193</v>
      </c>
      <c r="P1103" t="s">
        <v>193</v>
      </c>
    </row>
    <row r="1104" spans="1:16" ht="12.75">
      <c r="A1104" s="62" t="str">
        <f t="shared" si="17"/>
        <v>Serbia_GDP per capita, PPP (constant 2000 international $)</v>
      </c>
      <c r="B1104" t="s">
        <v>515</v>
      </c>
      <c r="C1104" t="s">
        <v>276</v>
      </c>
      <c r="D1104" t="s">
        <v>436</v>
      </c>
      <c r="E1104" t="s">
        <v>437</v>
      </c>
      <c r="F1104" t="s">
        <v>193</v>
      </c>
      <c r="G1104" t="s">
        <v>193</v>
      </c>
      <c r="H1104" t="s">
        <v>193</v>
      </c>
      <c r="I1104" t="s">
        <v>193</v>
      </c>
      <c r="J1104" t="s">
        <v>193</v>
      </c>
      <c r="K1104" t="s">
        <v>193</v>
      </c>
      <c r="L1104" t="s">
        <v>193</v>
      </c>
      <c r="M1104" t="s">
        <v>193</v>
      </c>
      <c r="N1104" t="s">
        <v>193</v>
      </c>
      <c r="O1104" t="s">
        <v>193</v>
      </c>
      <c r="P1104" t="s">
        <v>193</v>
      </c>
    </row>
    <row r="1105" spans="1:16" ht="12.75">
      <c r="A1105" s="62" t="str">
        <f t="shared" si="17"/>
        <v>Serbia_GINI index</v>
      </c>
      <c r="B1105" t="s">
        <v>515</v>
      </c>
      <c r="C1105" t="s">
        <v>276</v>
      </c>
      <c r="D1105" t="s">
        <v>438</v>
      </c>
      <c r="E1105" t="s">
        <v>439</v>
      </c>
      <c r="F1105" t="s">
        <v>193</v>
      </c>
      <c r="G1105" t="s">
        <v>193</v>
      </c>
      <c r="H1105" t="s">
        <v>193</v>
      </c>
      <c r="I1105" t="s">
        <v>193</v>
      </c>
      <c r="J1105" t="s">
        <v>193</v>
      </c>
      <c r="K1105" t="s">
        <v>193</v>
      </c>
      <c r="L1105" t="s">
        <v>193</v>
      </c>
      <c r="M1105" t="s">
        <v>193</v>
      </c>
      <c r="N1105" t="s">
        <v>193</v>
      </c>
      <c r="O1105" t="s">
        <v>193</v>
      </c>
      <c r="P1105" t="s">
        <v>193</v>
      </c>
    </row>
    <row r="1106" spans="1:16" ht="12.75">
      <c r="A1106" s="62" t="str">
        <f t="shared" si="17"/>
        <v>Slovak Republic_Poverty headcount ratio at national poverty line (% of population)</v>
      </c>
      <c r="B1106" t="s">
        <v>516</v>
      </c>
      <c r="C1106" t="s">
        <v>221</v>
      </c>
      <c r="D1106" t="s">
        <v>408</v>
      </c>
      <c r="E1106" t="s">
        <v>409</v>
      </c>
      <c r="F1106" t="s">
        <v>193</v>
      </c>
      <c r="G1106" t="s">
        <v>193</v>
      </c>
      <c r="H1106" t="s">
        <v>193</v>
      </c>
      <c r="I1106" t="s">
        <v>193</v>
      </c>
      <c r="J1106" t="s">
        <v>193</v>
      </c>
      <c r="K1106" t="s">
        <v>193</v>
      </c>
      <c r="L1106" t="s">
        <v>193</v>
      </c>
      <c r="M1106" t="s">
        <v>193</v>
      </c>
      <c r="N1106" t="s">
        <v>193</v>
      </c>
      <c r="O1106" t="s">
        <v>193</v>
      </c>
      <c r="P1106" t="s">
        <v>193</v>
      </c>
    </row>
    <row r="1107" spans="1:16" ht="12.75">
      <c r="A1107" s="62" t="str">
        <f t="shared" si="17"/>
        <v>Slovak Republic_Poverty headcount ratio at $2 a day (PPP) (% of population)</v>
      </c>
      <c r="B1107" t="s">
        <v>516</v>
      </c>
      <c r="C1107" t="s">
        <v>221</v>
      </c>
      <c r="D1107" t="s">
        <v>410</v>
      </c>
      <c r="E1107" t="s">
        <v>411</v>
      </c>
      <c r="F1107">
        <v>2.88</v>
      </c>
      <c r="G1107" t="s">
        <v>193</v>
      </c>
      <c r="H1107" t="s">
        <v>193</v>
      </c>
      <c r="I1107" t="s">
        <v>193</v>
      </c>
      <c r="J1107" t="s">
        <v>193</v>
      </c>
      <c r="K1107" t="s">
        <v>193</v>
      </c>
      <c r="L1107" t="s">
        <v>193</v>
      </c>
      <c r="M1107" t="s">
        <v>193</v>
      </c>
      <c r="N1107" t="s">
        <v>193</v>
      </c>
      <c r="O1107" t="s">
        <v>193</v>
      </c>
      <c r="P1107" t="s">
        <v>193</v>
      </c>
    </row>
    <row r="1108" spans="1:16" ht="12.75">
      <c r="A1108" s="62" t="str">
        <f t="shared" si="17"/>
        <v>Slovak Republic_Poverty headcount ratio at $1 a day (PPP) (% of population)</v>
      </c>
      <c r="B1108" t="s">
        <v>516</v>
      </c>
      <c r="C1108" t="s">
        <v>221</v>
      </c>
      <c r="D1108" t="s">
        <v>412</v>
      </c>
      <c r="E1108" t="s">
        <v>413</v>
      </c>
      <c r="F1108">
        <v>2</v>
      </c>
      <c r="G1108" t="s">
        <v>193</v>
      </c>
      <c r="H1108" t="s">
        <v>193</v>
      </c>
      <c r="I1108" t="s">
        <v>193</v>
      </c>
      <c r="J1108" t="s">
        <v>193</v>
      </c>
      <c r="K1108" t="s">
        <v>193</v>
      </c>
      <c r="L1108" t="s">
        <v>193</v>
      </c>
      <c r="M1108" t="s">
        <v>193</v>
      </c>
      <c r="N1108" t="s">
        <v>193</v>
      </c>
      <c r="O1108" t="s">
        <v>193</v>
      </c>
      <c r="P1108" t="s">
        <v>193</v>
      </c>
    </row>
    <row r="1109" spans="1:16" ht="12.75">
      <c r="A1109" s="62" t="str">
        <f t="shared" si="17"/>
        <v>Slovak Republic_Poverty gap at $1 a day (PPP) (%)</v>
      </c>
      <c r="B1109" t="s">
        <v>516</v>
      </c>
      <c r="C1109" t="s">
        <v>221</v>
      </c>
      <c r="D1109" t="s">
        <v>414</v>
      </c>
      <c r="E1109" t="s">
        <v>415</v>
      </c>
      <c r="F1109">
        <v>0.5</v>
      </c>
      <c r="G1109" t="s">
        <v>193</v>
      </c>
      <c r="H1109" t="s">
        <v>193</v>
      </c>
      <c r="I1109" t="s">
        <v>193</v>
      </c>
      <c r="J1109" t="s">
        <v>193</v>
      </c>
      <c r="K1109" t="s">
        <v>193</v>
      </c>
      <c r="L1109" t="s">
        <v>193</v>
      </c>
      <c r="M1109" t="s">
        <v>193</v>
      </c>
      <c r="N1109" t="s">
        <v>193</v>
      </c>
      <c r="O1109" t="s">
        <v>193</v>
      </c>
      <c r="P1109" t="s">
        <v>193</v>
      </c>
    </row>
    <row r="1110" spans="1:16" ht="12.75">
      <c r="A1110" s="62" t="str">
        <f t="shared" si="17"/>
        <v>Slovak Republic_Poverty gap at $2 a day (PPP) (%)</v>
      </c>
      <c r="B1110" t="s">
        <v>516</v>
      </c>
      <c r="C1110" t="s">
        <v>221</v>
      </c>
      <c r="D1110" t="s">
        <v>416</v>
      </c>
      <c r="E1110" t="s">
        <v>417</v>
      </c>
      <c r="F1110">
        <v>0.84</v>
      </c>
      <c r="G1110" t="s">
        <v>193</v>
      </c>
      <c r="H1110" t="s">
        <v>193</v>
      </c>
      <c r="I1110" t="s">
        <v>193</v>
      </c>
      <c r="J1110" t="s">
        <v>193</v>
      </c>
      <c r="K1110" t="s">
        <v>193</v>
      </c>
      <c r="L1110" t="s">
        <v>193</v>
      </c>
      <c r="M1110" t="s">
        <v>193</v>
      </c>
      <c r="N1110" t="s">
        <v>193</v>
      </c>
      <c r="O1110" t="s">
        <v>193</v>
      </c>
      <c r="P1110" t="s">
        <v>193</v>
      </c>
    </row>
    <row r="1111" spans="1:16" ht="12.75">
      <c r="A1111" s="62" t="str">
        <f t="shared" si="17"/>
        <v>Slovak Republic_Population, total</v>
      </c>
      <c r="B1111" t="s">
        <v>516</v>
      </c>
      <c r="C1111" t="s">
        <v>221</v>
      </c>
      <c r="D1111" t="s">
        <v>418</v>
      </c>
      <c r="E1111" t="s">
        <v>419</v>
      </c>
      <c r="F1111">
        <v>5373793</v>
      </c>
      <c r="G1111">
        <v>5383233</v>
      </c>
      <c r="H1111">
        <v>5390657</v>
      </c>
      <c r="I1111">
        <v>5395115</v>
      </c>
      <c r="J1111">
        <v>5388740.81395645</v>
      </c>
      <c r="K1111">
        <v>5378899.99907044</v>
      </c>
      <c r="L1111">
        <v>5379099.9990704805</v>
      </c>
      <c r="M1111">
        <v>5379649.98117907</v>
      </c>
      <c r="N1111">
        <v>5382449.4869901</v>
      </c>
      <c r="O1111">
        <v>5387000</v>
      </c>
      <c r="P1111">
        <v>5384597.85865582</v>
      </c>
    </row>
    <row r="1112" spans="1:16" ht="12.75">
      <c r="A1112" s="62" t="str">
        <f t="shared" si="17"/>
        <v>Slovak Republic_Public spending on education, total (% of GDP)</v>
      </c>
      <c r="B1112" t="s">
        <v>516</v>
      </c>
      <c r="C1112" t="s">
        <v>221</v>
      </c>
      <c r="D1112" t="s">
        <v>420</v>
      </c>
      <c r="E1112" t="s">
        <v>421</v>
      </c>
      <c r="F1112" t="s">
        <v>193</v>
      </c>
      <c r="G1112" t="s">
        <v>193</v>
      </c>
      <c r="H1112" t="s">
        <v>193</v>
      </c>
      <c r="I1112">
        <v>4.19001227031908</v>
      </c>
      <c r="J1112">
        <v>3.94635412087925</v>
      </c>
      <c r="K1112">
        <v>4.03490058928099</v>
      </c>
      <c r="L1112">
        <v>4.34559372171193</v>
      </c>
      <c r="M1112">
        <v>4.37922862795678</v>
      </c>
      <c r="N1112">
        <v>4.30451645410746</v>
      </c>
      <c r="O1112" t="s">
        <v>193</v>
      </c>
      <c r="P1112" t="s">
        <v>193</v>
      </c>
    </row>
    <row r="1113" spans="1:16" ht="12.75">
      <c r="A1113" s="62" t="str">
        <f t="shared" si="17"/>
        <v>Slovak Republic_Public spending on education, total (% of government expenditure)</v>
      </c>
      <c r="B1113" t="s">
        <v>516</v>
      </c>
      <c r="C1113" t="s">
        <v>221</v>
      </c>
      <c r="D1113" t="s">
        <v>422</v>
      </c>
      <c r="E1113" t="s">
        <v>423</v>
      </c>
      <c r="F1113" t="s">
        <v>193</v>
      </c>
      <c r="G1113" t="s">
        <v>193</v>
      </c>
      <c r="H1113" t="s">
        <v>193</v>
      </c>
      <c r="I1113">
        <v>13.8483879935473</v>
      </c>
      <c r="J1113" t="s">
        <v>193</v>
      </c>
      <c r="K1113" t="s">
        <v>193</v>
      </c>
      <c r="L1113">
        <v>9.91737064041046</v>
      </c>
      <c r="M1113">
        <v>11.0155523678893</v>
      </c>
      <c r="N1113">
        <v>10.831823739136</v>
      </c>
      <c r="O1113" t="s">
        <v>193</v>
      </c>
      <c r="P1113" t="s">
        <v>193</v>
      </c>
    </row>
    <row r="1114" spans="1:16" ht="12.75">
      <c r="A1114" s="62" t="str">
        <f t="shared" si="17"/>
        <v>Slovak Republic_Health expenditure, public (% of total health expenditure)</v>
      </c>
      <c r="B1114" t="s">
        <v>516</v>
      </c>
      <c r="C1114" t="s">
        <v>221</v>
      </c>
      <c r="D1114" t="s">
        <v>424</v>
      </c>
      <c r="E1114" t="s">
        <v>425</v>
      </c>
      <c r="F1114" t="s">
        <v>193</v>
      </c>
      <c r="G1114" t="s">
        <v>193</v>
      </c>
      <c r="H1114" t="s">
        <v>193</v>
      </c>
      <c r="I1114" t="s">
        <v>193</v>
      </c>
      <c r="J1114">
        <v>85</v>
      </c>
      <c r="K1114">
        <v>84.7</v>
      </c>
      <c r="L1114">
        <v>85.1</v>
      </c>
      <c r="M1114">
        <v>79.2</v>
      </c>
      <c r="N1114">
        <v>73.8</v>
      </c>
      <c r="O1114" t="s">
        <v>193</v>
      </c>
      <c r="P1114" t="s">
        <v>193</v>
      </c>
    </row>
    <row r="1115" spans="1:16" ht="12.75">
      <c r="A1115" s="62" t="str">
        <f t="shared" si="17"/>
        <v>Slovak Republic_Health expenditure, public (% of GDP)</v>
      </c>
      <c r="B1115" t="s">
        <v>516</v>
      </c>
      <c r="C1115" t="s">
        <v>221</v>
      </c>
      <c r="D1115" t="s">
        <v>426</v>
      </c>
      <c r="E1115" t="s">
        <v>427</v>
      </c>
      <c r="F1115" t="s">
        <v>193</v>
      </c>
      <c r="G1115" t="s">
        <v>193</v>
      </c>
      <c r="H1115" t="s">
        <v>193</v>
      </c>
      <c r="I1115" t="s">
        <v>193</v>
      </c>
      <c r="J1115">
        <v>5.61</v>
      </c>
      <c r="K1115">
        <v>5.8443</v>
      </c>
      <c r="L1115">
        <v>6.0421</v>
      </c>
      <c r="M1115">
        <v>5.7024</v>
      </c>
      <c r="N1115">
        <v>5.3136</v>
      </c>
      <c r="O1115" t="s">
        <v>193</v>
      </c>
      <c r="P1115" t="s">
        <v>193</v>
      </c>
    </row>
    <row r="1116" spans="1:16" ht="12.75">
      <c r="A1116" s="62" t="str">
        <f t="shared" si="17"/>
        <v>Slovak Republic_Health expenditure, total (% of GDP)</v>
      </c>
      <c r="B1116" t="s">
        <v>516</v>
      </c>
      <c r="C1116" t="s">
        <v>221</v>
      </c>
      <c r="D1116" t="s">
        <v>428</v>
      </c>
      <c r="E1116" t="s">
        <v>429</v>
      </c>
      <c r="F1116" t="s">
        <v>193</v>
      </c>
      <c r="G1116" t="s">
        <v>193</v>
      </c>
      <c r="H1116" t="s">
        <v>193</v>
      </c>
      <c r="I1116" t="s">
        <v>193</v>
      </c>
      <c r="J1116">
        <v>6.6</v>
      </c>
      <c r="K1116">
        <v>6.9</v>
      </c>
      <c r="L1116">
        <v>7.1</v>
      </c>
      <c r="M1116">
        <v>7.2</v>
      </c>
      <c r="N1116">
        <v>7.2</v>
      </c>
      <c r="O1116" t="s">
        <v>193</v>
      </c>
      <c r="P1116" t="s">
        <v>193</v>
      </c>
    </row>
    <row r="1117" spans="1:16" ht="12.75">
      <c r="A1117" s="62" t="str">
        <f t="shared" si="17"/>
        <v>Slovak Republic_GDP (current LCU)</v>
      </c>
      <c r="B1117" t="s">
        <v>516</v>
      </c>
      <c r="C1117" t="s">
        <v>221</v>
      </c>
      <c r="D1117" t="s">
        <v>430</v>
      </c>
      <c r="E1117" t="s">
        <v>431</v>
      </c>
      <c r="F1117">
        <v>655237971968</v>
      </c>
      <c r="G1117">
        <v>724887011328</v>
      </c>
      <c r="H1117">
        <v>790037987328</v>
      </c>
      <c r="I1117">
        <v>852168998912</v>
      </c>
      <c r="J1117">
        <v>941314015232</v>
      </c>
      <c r="K1117">
        <v>1020595011584</v>
      </c>
      <c r="L1117">
        <v>1111484006400</v>
      </c>
      <c r="M1117">
        <v>1212665036800</v>
      </c>
      <c r="N1117">
        <v>1355261935616</v>
      </c>
      <c r="O1117">
        <v>1471131025408</v>
      </c>
      <c r="P1117">
        <v>1636263002112</v>
      </c>
    </row>
    <row r="1118" spans="1:16" ht="12.75">
      <c r="A1118" s="62" t="str">
        <f t="shared" si="17"/>
        <v>Slovak Republic_GDP (current US$)</v>
      </c>
      <c r="B1118" t="s">
        <v>516</v>
      </c>
      <c r="C1118" t="s">
        <v>221</v>
      </c>
      <c r="D1118" t="s">
        <v>432</v>
      </c>
      <c r="E1118" t="s">
        <v>433</v>
      </c>
      <c r="F1118">
        <v>21375285248</v>
      </c>
      <c r="G1118">
        <v>21563750400</v>
      </c>
      <c r="H1118">
        <v>22423238656</v>
      </c>
      <c r="I1118">
        <v>20575342592</v>
      </c>
      <c r="J1118">
        <v>20374761472</v>
      </c>
      <c r="K1118">
        <v>21109788672</v>
      </c>
      <c r="L1118">
        <v>24517128192</v>
      </c>
      <c r="M1118">
        <v>32977047552</v>
      </c>
      <c r="N1118">
        <v>42017112064</v>
      </c>
      <c r="O1118">
        <v>47422185472</v>
      </c>
      <c r="P1118">
        <v>55048548352</v>
      </c>
    </row>
    <row r="1119" spans="1:16" ht="12.75">
      <c r="A1119" s="62" t="str">
        <f t="shared" si="17"/>
        <v>Slovak Republic_GDP per capita, PPP (current international $)</v>
      </c>
      <c r="B1119" t="s">
        <v>516</v>
      </c>
      <c r="C1119" t="s">
        <v>221</v>
      </c>
      <c r="D1119" t="s">
        <v>434</v>
      </c>
      <c r="E1119" t="s">
        <v>435</v>
      </c>
      <c r="F1119">
        <v>9654.78132911475</v>
      </c>
      <c r="G1119">
        <v>10360.7947330454</v>
      </c>
      <c r="H1119">
        <v>10847.2123352563</v>
      </c>
      <c r="I1119">
        <v>11029.8966359772</v>
      </c>
      <c r="J1119">
        <v>11365.1363106859</v>
      </c>
      <c r="K1119">
        <v>12036.3552813178</v>
      </c>
      <c r="L1119">
        <v>12750.6936703275</v>
      </c>
      <c r="M1119">
        <v>13549.9615605044</v>
      </c>
      <c r="N1119">
        <v>14651.0133384146</v>
      </c>
      <c r="O1119">
        <v>15990.5559270431</v>
      </c>
      <c r="P1119">
        <v>17827.1781622266</v>
      </c>
    </row>
    <row r="1120" spans="1:16" ht="12.75">
      <c r="A1120" s="62" t="str">
        <f t="shared" si="17"/>
        <v>Slovak Republic_GDP per capita, PPP (constant 2000 international $)</v>
      </c>
      <c r="B1120" t="s">
        <v>516</v>
      </c>
      <c r="C1120" t="s">
        <v>221</v>
      </c>
      <c r="D1120" t="s">
        <v>436</v>
      </c>
      <c r="E1120" t="s">
        <v>437</v>
      </c>
      <c r="F1120">
        <v>10288.0019357951</v>
      </c>
      <c r="G1120">
        <v>10858.9374964576</v>
      </c>
      <c r="H1120">
        <v>11243.8187156463</v>
      </c>
      <c r="I1120">
        <v>11270.3324257055</v>
      </c>
      <c r="J1120">
        <v>11365.1363106859</v>
      </c>
      <c r="K1120">
        <v>11753.242251691</v>
      </c>
      <c r="L1120">
        <v>12236.6307741409</v>
      </c>
      <c r="M1120">
        <v>12744.2987073744</v>
      </c>
      <c r="N1120">
        <v>13427.5455673848</v>
      </c>
      <c r="O1120">
        <v>14226.102974164</v>
      </c>
      <c r="P1120">
        <v>15408.8726131275</v>
      </c>
    </row>
    <row r="1121" spans="1:16" ht="12.75">
      <c r="A1121" s="62" t="str">
        <f t="shared" si="17"/>
        <v>Slovak Republic_GINI index</v>
      </c>
      <c r="B1121" t="s">
        <v>516</v>
      </c>
      <c r="C1121" t="s">
        <v>221</v>
      </c>
      <c r="D1121" t="s">
        <v>438</v>
      </c>
      <c r="E1121" t="s">
        <v>439</v>
      </c>
      <c r="F1121">
        <v>25.81</v>
      </c>
      <c r="G1121" t="s">
        <v>193</v>
      </c>
      <c r="H1121" t="s">
        <v>193</v>
      </c>
      <c r="I1121" t="s">
        <v>193</v>
      </c>
      <c r="J1121" t="s">
        <v>193</v>
      </c>
      <c r="K1121" t="s">
        <v>193</v>
      </c>
      <c r="L1121" t="s">
        <v>193</v>
      </c>
      <c r="M1121" t="s">
        <v>193</v>
      </c>
      <c r="N1121" t="s">
        <v>193</v>
      </c>
      <c r="O1121" t="s">
        <v>193</v>
      </c>
      <c r="P1121" t="s">
        <v>193</v>
      </c>
    </row>
    <row r="1122" spans="1:16" ht="12.75">
      <c r="A1122" s="62" t="str">
        <f t="shared" si="17"/>
        <v>Slovenia_Poverty headcount ratio at national poverty line (% of population)</v>
      </c>
      <c r="B1122" t="s">
        <v>517</v>
      </c>
      <c r="C1122" t="s">
        <v>518</v>
      </c>
      <c r="D1122" t="s">
        <v>408</v>
      </c>
      <c r="E1122" t="s">
        <v>409</v>
      </c>
      <c r="F1122" t="s">
        <v>193</v>
      </c>
      <c r="G1122" t="s">
        <v>193</v>
      </c>
      <c r="H1122" t="s">
        <v>193</v>
      </c>
      <c r="I1122" t="s">
        <v>193</v>
      </c>
      <c r="J1122" t="s">
        <v>193</v>
      </c>
      <c r="K1122" t="s">
        <v>193</v>
      </c>
      <c r="L1122" t="s">
        <v>193</v>
      </c>
      <c r="M1122" t="s">
        <v>193</v>
      </c>
      <c r="N1122" t="s">
        <v>193</v>
      </c>
      <c r="O1122" t="s">
        <v>193</v>
      </c>
      <c r="P1122" t="s">
        <v>193</v>
      </c>
    </row>
    <row r="1123" spans="1:16" ht="12.75">
      <c r="A1123" s="62" t="str">
        <f aca="true" t="shared" si="18" ref="A1123:A1186">C1123&amp;"_"&amp;E1123</f>
        <v>Slovenia_Poverty headcount ratio at $2 a day (PPP) (% of population)</v>
      </c>
      <c r="B1123" t="s">
        <v>517</v>
      </c>
      <c r="C1123" t="s">
        <v>518</v>
      </c>
      <c r="D1123" t="s">
        <v>410</v>
      </c>
      <c r="E1123" t="s">
        <v>411</v>
      </c>
      <c r="F1123" t="s">
        <v>193</v>
      </c>
      <c r="G1123" t="s">
        <v>193</v>
      </c>
      <c r="H1123">
        <v>2</v>
      </c>
      <c r="I1123" t="s">
        <v>193</v>
      </c>
      <c r="J1123" t="s">
        <v>193</v>
      </c>
      <c r="K1123" t="s">
        <v>193</v>
      </c>
      <c r="L1123" t="s">
        <v>193</v>
      </c>
      <c r="M1123" t="s">
        <v>193</v>
      </c>
      <c r="N1123" t="s">
        <v>193</v>
      </c>
      <c r="O1123" t="s">
        <v>193</v>
      </c>
      <c r="P1123" t="s">
        <v>193</v>
      </c>
    </row>
    <row r="1124" spans="1:16" ht="12.75">
      <c r="A1124" s="62" t="str">
        <f t="shared" si="18"/>
        <v>Slovenia_Poverty headcount ratio at $1 a day (PPP) (% of population)</v>
      </c>
      <c r="B1124" t="s">
        <v>517</v>
      </c>
      <c r="C1124" t="s">
        <v>518</v>
      </c>
      <c r="D1124" t="s">
        <v>412</v>
      </c>
      <c r="E1124" t="s">
        <v>413</v>
      </c>
      <c r="F1124" t="s">
        <v>193</v>
      </c>
      <c r="G1124" t="s">
        <v>193</v>
      </c>
      <c r="H1124">
        <v>2</v>
      </c>
      <c r="I1124" t="s">
        <v>193</v>
      </c>
      <c r="J1124" t="s">
        <v>193</v>
      </c>
      <c r="K1124" t="s">
        <v>193</v>
      </c>
      <c r="L1124" t="s">
        <v>193</v>
      </c>
      <c r="M1124" t="s">
        <v>193</v>
      </c>
      <c r="N1124" t="s">
        <v>193</v>
      </c>
      <c r="O1124" t="s">
        <v>193</v>
      </c>
      <c r="P1124" t="s">
        <v>193</v>
      </c>
    </row>
    <row r="1125" spans="1:16" ht="12.75">
      <c r="A1125" s="62" t="str">
        <f t="shared" si="18"/>
        <v>Slovenia_Poverty gap at $1 a day (PPP) (%)</v>
      </c>
      <c r="B1125" t="s">
        <v>517</v>
      </c>
      <c r="C1125" t="s">
        <v>518</v>
      </c>
      <c r="D1125" t="s">
        <v>414</v>
      </c>
      <c r="E1125" t="s">
        <v>415</v>
      </c>
      <c r="F1125" t="s">
        <v>193</v>
      </c>
      <c r="G1125" t="s">
        <v>193</v>
      </c>
      <c r="H1125">
        <v>0.5</v>
      </c>
      <c r="I1125" t="s">
        <v>193</v>
      </c>
      <c r="J1125" t="s">
        <v>193</v>
      </c>
      <c r="K1125" t="s">
        <v>193</v>
      </c>
      <c r="L1125" t="s">
        <v>193</v>
      </c>
      <c r="M1125" t="s">
        <v>193</v>
      </c>
      <c r="N1125" t="s">
        <v>193</v>
      </c>
      <c r="O1125" t="s">
        <v>193</v>
      </c>
      <c r="P1125" t="s">
        <v>193</v>
      </c>
    </row>
    <row r="1126" spans="1:16" ht="12.75">
      <c r="A1126" s="62" t="str">
        <f t="shared" si="18"/>
        <v>Slovenia_Poverty gap at $2 a day (PPP) (%)</v>
      </c>
      <c r="B1126" t="s">
        <v>517</v>
      </c>
      <c r="C1126" t="s">
        <v>518</v>
      </c>
      <c r="D1126" t="s">
        <v>416</v>
      </c>
      <c r="E1126" t="s">
        <v>417</v>
      </c>
      <c r="F1126" t="s">
        <v>193</v>
      </c>
      <c r="G1126" t="s">
        <v>193</v>
      </c>
      <c r="H1126">
        <v>0.5</v>
      </c>
      <c r="I1126" t="s">
        <v>193</v>
      </c>
      <c r="J1126" t="s">
        <v>193</v>
      </c>
      <c r="K1126" t="s">
        <v>193</v>
      </c>
      <c r="L1126" t="s">
        <v>193</v>
      </c>
      <c r="M1126" t="s">
        <v>193</v>
      </c>
      <c r="N1126" t="s">
        <v>193</v>
      </c>
      <c r="O1126" t="s">
        <v>193</v>
      </c>
      <c r="P1126" t="s">
        <v>193</v>
      </c>
    </row>
    <row r="1127" spans="1:16" ht="12.75">
      <c r="A1127" s="62" t="str">
        <f t="shared" si="18"/>
        <v>Slovenia_Population, total</v>
      </c>
      <c r="B1127" t="s">
        <v>517</v>
      </c>
      <c r="C1127" t="s">
        <v>518</v>
      </c>
      <c r="D1127" t="s">
        <v>418</v>
      </c>
      <c r="E1127" t="s">
        <v>419</v>
      </c>
      <c r="F1127">
        <v>1991000</v>
      </c>
      <c r="G1127">
        <v>1985956</v>
      </c>
      <c r="H1127">
        <v>1982600</v>
      </c>
      <c r="I1127">
        <v>1985500</v>
      </c>
      <c r="J1127">
        <v>1989000</v>
      </c>
      <c r="K1127">
        <v>1992000</v>
      </c>
      <c r="L1127">
        <v>1994000</v>
      </c>
      <c r="M1127">
        <v>1995699.87723605</v>
      </c>
      <c r="N1127">
        <v>1996999.9098648</v>
      </c>
      <c r="O1127">
        <v>2000500</v>
      </c>
      <c r="P1127">
        <v>1997591.55535021</v>
      </c>
    </row>
    <row r="1128" spans="1:16" ht="12.75">
      <c r="A1128" s="62" t="str">
        <f t="shared" si="18"/>
        <v>Slovenia_Public spending on education, total (% of GDP)</v>
      </c>
      <c r="B1128" t="s">
        <v>517</v>
      </c>
      <c r="C1128" t="s">
        <v>518</v>
      </c>
      <c r="D1128" t="s">
        <v>420</v>
      </c>
      <c r="E1128" t="s">
        <v>421</v>
      </c>
      <c r="F1128" t="s">
        <v>193</v>
      </c>
      <c r="G1128" t="s">
        <v>193</v>
      </c>
      <c r="H1128" t="s">
        <v>193</v>
      </c>
      <c r="I1128" t="s">
        <v>193</v>
      </c>
      <c r="J1128" t="s">
        <v>193</v>
      </c>
      <c r="K1128">
        <v>6.07851902129964</v>
      </c>
      <c r="L1128">
        <v>5.97756310855512</v>
      </c>
      <c r="M1128">
        <v>6.02150327202</v>
      </c>
      <c r="N1128">
        <v>5.97784518018391</v>
      </c>
      <c r="O1128" t="s">
        <v>193</v>
      </c>
      <c r="P1128" t="s">
        <v>193</v>
      </c>
    </row>
    <row r="1129" spans="1:16" ht="12.75">
      <c r="A1129" s="62" t="str">
        <f t="shared" si="18"/>
        <v>Slovenia_Public spending on education, total (% of government expenditure)</v>
      </c>
      <c r="B1129" t="s">
        <v>517</v>
      </c>
      <c r="C1129" t="s">
        <v>518</v>
      </c>
      <c r="D1129" t="s">
        <v>422</v>
      </c>
      <c r="E1129" t="s">
        <v>423</v>
      </c>
      <c r="F1129" t="s">
        <v>193</v>
      </c>
      <c r="G1129" t="s">
        <v>193</v>
      </c>
      <c r="H1129" t="s">
        <v>193</v>
      </c>
      <c r="I1129" t="s">
        <v>193</v>
      </c>
      <c r="J1129" t="s">
        <v>193</v>
      </c>
      <c r="K1129" t="s">
        <v>193</v>
      </c>
      <c r="L1129">
        <v>12.4520678086776</v>
      </c>
      <c r="M1129">
        <v>12.5635317098262</v>
      </c>
      <c r="N1129" t="s">
        <v>193</v>
      </c>
      <c r="O1129" t="s">
        <v>193</v>
      </c>
      <c r="P1129" t="s">
        <v>193</v>
      </c>
    </row>
    <row r="1130" spans="1:16" ht="12.75">
      <c r="A1130" s="62" t="str">
        <f t="shared" si="18"/>
        <v>Slovenia_Health expenditure, public (% of total health expenditure)</v>
      </c>
      <c r="B1130" t="s">
        <v>517</v>
      </c>
      <c r="C1130" t="s">
        <v>518</v>
      </c>
      <c r="D1130" t="s">
        <v>424</v>
      </c>
      <c r="E1130" t="s">
        <v>425</v>
      </c>
      <c r="F1130" t="s">
        <v>193</v>
      </c>
      <c r="G1130" t="s">
        <v>193</v>
      </c>
      <c r="H1130" t="s">
        <v>193</v>
      </c>
      <c r="I1130" t="s">
        <v>193</v>
      </c>
      <c r="J1130">
        <v>77.8</v>
      </c>
      <c r="K1130">
        <v>76.8</v>
      </c>
      <c r="L1130">
        <v>76.8</v>
      </c>
      <c r="M1130">
        <v>74.8</v>
      </c>
      <c r="N1130">
        <v>75.6</v>
      </c>
      <c r="O1130" t="s">
        <v>193</v>
      </c>
      <c r="P1130" t="s">
        <v>193</v>
      </c>
    </row>
    <row r="1131" spans="1:16" ht="12.75">
      <c r="A1131" s="62" t="str">
        <f t="shared" si="18"/>
        <v>Slovenia_Health expenditure, public (% of GDP)</v>
      </c>
      <c r="B1131" t="s">
        <v>517</v>
      </c>
      <c r="C1131" t="s">
        <v>518</v>
      </c>
      <c r="D1131" t="s">
        <v>426</v>
      </c>
      <c r="E1131" t="s">
        <v>427</v>
      </c>
      <c r="F1131" t="s">
        <v>193</v>
      </c>
      <c r="G1131" t="s">
        <v>193</v>
      </c>
      <c r="H1131" t="s">
        <v>193</v>
      </c>
      <c r="I1131" t="s">
        <v>193</v>
      </c>
      <c r="J1131">
        <v>6.613</v>
      </c>
      <c r="K1131">
        <v>6.8352</v>
      </c>
      <c r="L1131">
        <v>6.7584</v>
      </c>
      <c r="M1131">
        <v>6.6572</v>
      </c>
      <c r="N1131">
        <v>6.5772</v>
      </c>
      <c r="O1131" t="s">
        <v>193</v>
      </c>
      <c r="P1131" t="s">
        <v>193</v>
      </c>
    </row>
    <row r="1132" spans="1:16" ht="12.75">
      <c r="A1132" s="62" t="str">
        <f t="shared" si="18"/>
        <v>Slovenia_Health expenditure, total (% of GDP)</v>
      </c>
      <c r="B1132" t="s">
        <v>517</v>
      </c>
      <c r="C1132" t="s">
        <v>518</v>
      </c>
      <c r="D1132" t="s">
        <v>428</v>
      </c>
      <c r="E1132" t="s">
        <v>429</v>
      </c>
      <c r="F1132" t="s">
        <v>193</v>
      </c>
      <c r="G1132" t="s">
        <v>193</v>
      </c>
      <c r="H1132" t="s">
        <v>193</v>
      </c>
      <c r="I1132" t="s">
        <v>193</v>
      </c>
      <c r="J1132">
        <v>8.5</v>
      </c>
      <c r="K1132">
        <v>8.9</v>
      </c>
      <c r="L1132">
        <v>8.8</v>
      </c>
      <c r="M1132">
        <v>8.9</v>
      </c>
      <c r="N1132">
        <v>8.7</v>
      </c>
      <c r="O1132" t="s">
        <v>193</v>
      </c>
      <c r="P1132" t="s">
        <v>193</v>
      </c>
    </row>
    <row r="1133" spans="1:16" ht="12.75">
      <c r="A1133" s="62" t="str">
        <f t="shared" si="18"/>
        <v>Slovenia_GDP (current LCU)</v>
      </c>
      <c r="B1133" t="s">
        <v>517</v>
      </c>
      <c r="C1133" t="s">
        <v>518</v>
      </c>
      <c r="D1133" t="s">
        <v>430</v>
      </c>
      <c r="E1133" t="s">
        <v>431</v>
      </c>
      <c r="F1133">
        <v>2770603081728</v>
      </c>
      <c r="G1133">
        <v>3148956041216</v>
      </c>
      <c r="H1133">
        <v>3494599983104</v>
      </c>
      <c r="I1133">
        <v>3918973894656</v>
      </c>
      <c r="J1133">
        <v>4300349898752</v>
      </c>
      <c r="K1133">
        <v>4799552028672</v>
      </c>
      <c r="L1133">
        <v>5355440963584</v>
      </c>
      <c r="M1133">
        <v>5813539700736</v>
      </c>
      <c r="N1133">
        <v>6271795200000</v>
      </c>
      <c r="O1133">
        <v>6620145254400</v>
      </c>
      <c r="P1133">
        <v>7126011871232</v>
      </c>
    </row>
    <row r="1134" spans="1:16" ht="12.75">
      <c r="A1134" s="62" t="str">
        <f t="shared" si="18"/>
        <v>Slovenia_GDP (current US$)</v>
      </c>
      <c r="B1134" t="s">
        <v>517</v>
      </c>
      <c r="C1134" t="s">
        <v>518</v>
      </c>
      <c r="D1134" t="s">
        <v>432</v>
      </c>
      <c r="E1134" t="s">
        <v>433</v>
      </c>
      <c r="F1134">
        <v>20467578880</v>
      </c>
      <c r="G1134">
        <v>19719262208</v>
      </c>
      <c r="H1134">
        <v>21034745856</v>
      </c>
      <c r="I1134">
        <v>21560016896</v>
      </c>
      <c r="J1134">
        <v>19311589376</v>
      </c>
      <c r="K1134">
        <v>19771678720</v>
      </c>
      <c r="L1134">
        <v>22291609600</v>
      </c>
      <c r="M1134">
        <v>28069314560</v>
      </c>
      <c r="N1134">
        <v>32600887296</v>
      </c>
      <c r="O1134">
        <v>34353696768</v>
      </c>
      <c r="P1134">
        <v>37303447552</v>
      </c>
    </row>
    <row r="1135" spans="1:16" ht="12.75">
      <c r="A1135" s="62" t="str">
        <f t="shared" si="18"/>
        <v>Slovenia_GDP per capita, PPP (current international $)</v>
      </c>
      <c r="B1135" t="s">
        <v>517</v>
      </c>
      <c r="C1135" t="s">
        <v>518</v>
      </c>
      <c r="D1135" t="s">
        <v>434</v>
      </c>
      <c r="E1135" t="s">
        <v>435</v>
      </c>
      <c r="F1135">
        <v>13206.5200938643</v>
      </c>
      <c r="G1135">
        <v>14113.0680872855</v>
      </c>
      <c r="H1135">
        <v>14847.6470934926</v>
      </c>
      <c r="I1135">
        <v>15855.3767886752</v>
      </c>
      <c r="J1135">
        <v>16835.6663890862</v>
      </c>
      <c r="K1135">
        <v>17672.6166048603</v>
      </c>
      <c r="L1135">
        <v>18584.2888057867</v>
      </c>
      <c r="M1135">
        <v>19448.4631668293</v>
      </c>
      <c r="N1135">
        <v>20828.5847591498</v>
      </c>
      <c r="O1135">
        <v>22282.1012073476</v>
      </c>
      <c r="P1135">
        <v>24168.7589939521</v>
      </c>
    </row>
    <row r="1136" spans="1:16" ht="12.75">
      <c r="A1136" s="62" t="str">
        <f t="shared" si="18"/>
        <v>Slovenia_GDP per capita, PPP (constant 2000 international $)</v>
      </c>
      <c r="B1136" t="s">
        <v>517</v>
      </c>
      <c r="C1136" t="s">
        <v>518</v>
      </c>
      <c r="D1136" t="s">
        <v>436</v>
      </c>
      <c r="E1136" t="s">
        <v>437</v>
      </c>
      <c r="F1136">
        <v>14072.6858184835</v>
      </c>
      <c r="G1136">
        <v>14791.6186153451</v>
      </c>
      <c r="H1136">
        <v>15390.5212798786</v>
      </c>
      <c r="I1136">
        <v>16201.0010647169</v>
      </c>
      <c r="J1136">
        <v>16835.6663890862</v>
      </c>
      <c r="K1136">
        <v>17256.9303018645</v>
      </c>
      <c r="L1136">
        <v>17835.0359749935</v>
      </c>
      <c r="M1136">
        <v>18292.0831834606</v>
      </c>
      <c r="N1136">
        <v>19089.2441701841</v>
      </c>
      <c r="O1136">
        <v>19823.4175036018</v>
      </c>
      <c r="P1136">
        <v>20890.2006344606</v>
      </c>
    </row>
    <row r="1137" spans="1:16" ht="12.75">
      <c r="A1137" s="62" t="str">
        <f t="shared" si="18"/>
        <v>Slovenia_GINI index</v>
      </c>
      <c r="B1137" t="s">
        <v>517</v>
      </c>
      <c r="C1137" t="s">
        <v>518</v>
      </c>
      <c r="D1137" t="s">
        <v>438</v>
      </c>
      <c r="E1137" t="s">
        <v>439</v>
      </c>
      <c r="F1137" t="s">
        <v>193</v>
      </c>
      <c r="G1137" t="s">
        <v>193</v>
      </c>
      <c r="H1137">
        <v>28.41</v>
      </c>
      <c r="I1137" t="s">
        <v>193</v>
      </c>
      <c r="J1137" t="s">
        <v>193</v>
      </c>
      <c r="K1137" t="s">
        <v>193</v>
      </c>
      <c r="L1137" t="s">
        <v>193</v>
      </c>
      <c r="M1137" t="s">
        <v>193</v>
      </c>
      <c r="N1137" t="s">
        <v>193</v>
      </c>
      <c r="O1137" t="s">
        <v>193</v>
      </c>
      <c r="P1137" t="s">
        <v>193</v>
      </c>
    </row>
    <row r="1138" spans="1:16" ht="12.75">
      <c r="A1138" s="62" t="str">
        <f t="shared" si="18"/>
        <v>South Africa_Poverty headcount ratio at national poverty line (% of population)</v>
      </c>
      <c r="B1138" t="s">
        <v>519</v>
      </c>
      <c r="C1138" t="s">
        <v>177</v>
      </c>
      <c r="D1138" t="s">
        <v>408</v>
      </c>
      <c r="E1138" t="s">
        <v>409</v>
      </c>
      <c r="F1138" t="s">
        <v>193</v>
      </c>
      <c r="G1138" t="s">
        <v>193</v>
      </c>
      <c r="H1138" t="s">
        <v>193</v>
      </c>
      <c r="I1138" t="s">
        <v>193</v>
      </c>
      <c r="J1138" t="s">
        <v>193</v>
      </c>
      <c r="K1138" t="s">
        <v>193</v>
      </c>
      <c r="L1138" t="s">
        <v>193</v>
      </c>
      <c r="M1138" t="s">
        <v>193</v>
      </c>
      <c r="N1138" t="s">
        <v>193</v>
      </c>
      <c r="O1138" t="s">
        <v>193</v>
      </c>
      <c r="P1138" t="s">
        <v>193</v>
      </c>
    </row>
    <row r="1139" spans="1:16" ht="12.75">
      <c r="A1139" s="62" t="str">
        <f t="shared" si="18"/>
        <v>South Africa_Poverty headcount ratio at $2 a day (PPP) (% of population)</v>
      </c>
      <c r="B1139" t="s">
        <v>519</v>
      </c>
      <c r="C1139" t="s">
        <v>177</v>
      </c>
      <c r="D1139" t="s">
        <v>410</v>
      </c>
      <c r="E1139" t="s">
        <v>411</v>
      </c>
      <c r="F1139" t="s">
        <v>193</v>
      </c>
      <c r="G1139" t="s">
        <v>193</v>
      </c>
      <c r="H1139" t="s">
        <v>193</v>
      </c>
      <c r="I1139" t="s">
        <v>193</v>
      </c>
      <c r="J1139">
        <v>34.07</v>
      </c>
      <c r="K1139" t="s">
        <v>193</v>
      </c>
      <c r="L1139" t="s">
        <v>193</v>
      </c>
      <c r="M1139" t="s">
        <v>193</v>
      </c>
      <c r="N1139" t="s">
        <v>193</v>
      </c>
      <c r="O1139" t="s">
        <v>193</v>
      </c>
      <c r="P1139" t="s">
        <v>193</v>
      </c>
    </row>
    <row r="1140" spans="1:16" ht="12.75">
      <c r="A1140" s="62" t="str">
        <f t="shared" si="18"/>
        <v>South Africa_Poverty headcount ratio at $1 a day (PPP) (% of population)</v>
      </c>
      <c r="B1140" t="s">
        <v>519</v>
      </c>
      <c r="C1140" t="s">
        <v>177</v>
      </c>
      <c r="D1140" t="s">
        <v>412</v>
      </c>
      <c r="E1140" t="s">
        <v>413</v>
      </c>
      <c r="F1140" t="s">
        <v>193</v>
      </c>
      <c r="G1140" t="s">
        <v>193</v>
      </c>
      <c r="H1140" t="s">
        <v>193</v>
      </c>
      <c r="I1140" t="s">
        <v>193</v>
      </c>
      <c r="J1140">
        <v>10.71</v>
      </c>
      <c r="K1140" t="s">
        <v>193</v>
      </c>
      <c r="L1140" t="s">
        <v>193</v>
      </c>
      <c r="M1140" t="s">
        <v>193</v>
      </c>
      <c r="N1140" t="s">
        <v>193</v>
      </c>
      <c r="O1140" t="s">
        <v>193</v>
      </c>
      <c r="P1140" t="s">
        <v>193</v>
      </c>
    </row>
    <row r="1141" spans="1:16" ht="12.75">
      <c r="A1141" s="62" t="str">
        <f t="shared" si="18"/>
        <v>South Africa_Poverty gap at $1 a day (PPP) (%)</v>
      </c>
      <c r="B1141" t="s">
        <v>519</v>
      </c>
      <c r="C1141" t="s">
        <v>177</v>
      </c>
      <c r="D1141" t="s">
        <v>414</v>
      </c>
      <c r="E1141" t="s">
        <v>415</v>
      </c>
      <c r="F1141" t="s">
        <v>193</v>
      </c>
      <c r="G1141" t="s">
        <v>193</v>
      </c>
      <c r="H1141" t="s">
        <v>193</v>
      </c>
      <c r="I1141" t="s">
        <v>193</v>
      </c>
      <c r="J1141">
        <v>1.74</v>
      </c>
      <c r="K1141" t="s">
        <v>193</v>
      </c>
      <c r="L1141" t="s">
        <v>193</v>
      </c>
      <c r="M1141" t="s">
        <v>193</v>
      </c>
      <c r="N1141" t="s">
        <v>193</v>
      </c>
      <c r="O1141" t="s">
        <v>193</v>
      </c>
      <c r="P1141" t="s">
        <v>193</v>
      </c>
    </row>
    <row r="1142" spans="1:16" ht="12.75">
      <c r="A1142" s="62" t="str">
        <f t="shared" si="18"/>
        <v>South Africa_Poverty gap at $2 a day (PPP) (%)</v>
      </c>
      <c r="B1142" t="s">
        <v>519</v>
      </c>
      <c r="C1142" t="s">
        <v>177</v>
      </c>
      <c r="D1142" t="s">
        <v>416</v>
      </c>
      <c r="E1142" t="s">
        <v>417</v>
      </c>
      <c r="F1142" t="s">
        <v>193</v>
      </c>
      <c r="G1142" t="s">
        <v>193</v>
      </c>
      <c r="H1142" t="s">
        <v>193</v>
      </c>
      <c r="I1142" t="s">
        <v>193</v>
      </c>
      <c r="J1142">
        <v>12.59</v>
      </c>
      <c r="K1142" t="s">
        <v>193</v>
      </c>
      <c r="L1142" t="s">
        <v>193</v>
      </c>
      <c r="M1142" t="s">
        <v>193</v>
      </c>
      <c r="N1142" t="s">
        <v>193</v>
      </c>
      <c r="O1142" t="s">
        <v>193</v>
      </c>
      <c r="P1142" t="s">
        <v>193</v>
      </c>
    </row>
    <row r="1143" spans="1:16" ht="12.75">
      <c r="A1143" s="62" t="str">
        <f t="shared" si="18"/>
        <v>South Africa_Population, total</v>
      </c>
      <c r="B1143" t="s">
        <v>519</v>
      </c>
      <c r="C1143" t="s">
        <v>177</v>
      </c>
      <c r="D1143" t="s">
        <v>418</v>
      </c>
      <c r="E1143" t="s">
        <v>419</v>
      </c>
      <c r="F1143">
        <v>40000246.9537564</v>
      </c>
      <c r="G1143">
        <v>40926063.0383418</v>
      </c>
      <c r="H1143">
        <v>41899682.7772342</v>
      </c>
      <c r="I1143">
        <v>42923484.53414</v>
      </c>
      <c r="J1143">
        <v>44000000</v>
      </c>
      <c r="K1143">
        <v>44812420.8515329</v>
      </c>
      <c r="L1143">
        <v>45322587.3523443</v>
      </c>
      <c r="M1143">
        <v>45838561.8379421</v>
      </c>
      <c r="N1143">
        <v>46360410.4292639</v>
      </c>
      <c r="O1143">
        <v>46888200</v>
      </c>
      <c r="P1143">
        <v>47390900</v>
      </c>
    </row>
    <row r="1144" spans="1:16" ht="12.75">
      <c r="A1144" s="62" t="str">
        <f t="shared" si="18"/>
        <v>South Africa_Public spending on education, total (% of GDP)</v>
      </c>
      <c r="B1144" t="s">
        <v>519</v>
      </c>
      <c r="C1144" t="s">
        <v>177</v>
      </c>
      <c r="D1144" t="s">
        <v>420</v>
      </c>
      <c r="E1144" t="s">
        <v>421</v>
      </c>
      <c r="F1144" t="s">
        <v>193</v>
      </c>
      <c r="G1144" t="s">
        <v>193</v>
      </c>
      <c r="H1144" t="s">
        <v>193</v>
      </c>
      <c r="I1144">
        <v>6.02744426813167</v>
      </c>
      <c r="J1144">
        <v>5.58453672428767</v>
      </c>
      <c r="K1144">
        <v>5.29474892999126</v>
      </c>
      <c r="L1144">
        <v>5.19604265716902</v>
      </c>
      <c r="M1144">
        <v>5.06667377399532</v>
      </c>
      <c r="N1144">
        <v>5.34609976733439</v>
      </c>
      <c r="O1144">
        <v>5.39169158731618</v>
      </c>
      <c r="P1144" t="s">
        <v>193</v>
      </c>
    </row>
    <row r="1145" spans="1:16" ht="12.75">
      <c r="A1145" s="62" t="str">
        <f t="shared" si="18"/>
        <v>South Africa_Public spending on education, total (% of government expenditure)</v>
      </c>
      <c r="B1145" t="s">
        <v>519</v>
      </c>
      <c r="C1145" t="s">
        <v>177</v>
      </c>
      <c r="D1145" t="s">
        <v>422</v>
      </c>
      <c r="E1145" t="s">
        <v>423</v>
      </c>
      <c r="F1145" t="s">
        <v>193</v>
      </c>
      <c r="G1145" t="s">
        <v>193</v>
      </c>
      <c r="H1145" t="s">
        <v>193</v>
      </c>
      <c r="I1145">
        <v>22.2042670673265</v>
      </c>
      <c r="J1145">
        <v>18.11335289217</v>
      </c>
      <c r="K1145">
        <v>23.4481705062264</v>
      </c>
      <c r="L1145">
        <v>18.4949958822462</v>
      </c>
      <c r="M1145">
        <v>18.493587625582</v>
      </c>
      <c r="N1145">
        <v>18.0647177733692</v>
      </c>
      <c r="O1145">
        <v>17.8500744903855</v>
      </c>
      <c r="P1145" t="s">
        <v>193</v>
      </c>
    </row>
    <row r="1146" spans="1:16" ht="12.75">
      <c r="A1146" s="62" t="str">
        <f t="shared" si="18"/>
        <v>South Africa_Health expenditure, public (% of total health expenditure)</v>
      </c>
      <c r="B1146" t="s">
        <v>519</v>
      </c>
      <c r="C1146" t="s">
        <v>177</v>
      </c>
      <c r="D1146" t="s">
        <v>424</v>
      </c>
      <c r="E1146" t="s">
        <v>425</v>
      </c>
      <c r="F1146" t="s">
        <v>193</v>
      </c>
      <c r="G1146" t="s">
        <v>193</v>
      </c>
      <c r="H1146" t="s">
        <v>193</v>
      </c>
      <c r="I1146" t="s">
        <v>193</v>
      </c>
      <c r="J1146">
        <v>42.4</v>
      </c>
      <c r="K1146">
        <v>41.2</v>
      </c>
      <c r="L1146">
        <v>40.6</v>
      </c>
      <c r="M1146">
        <v>39.7</v>
      </c>
      <c r="N1146">
        <v>40.4</v>
      </c>
      <c r="O1146" t="s">
        <v>193</v>
      </c>
      <c r="P1146" t="s">
        <v>193</v>
      </c>
    </row>
    <row r="1147" spans="1:16" ht="12.75">
      <c r="A1147" s="62" t="str">
        <f t="shared" si="18"/>
        <v>South Africa_Health expenditure, public (% of GDP)</v>
      </c>
      <c r="B1147" t="s">
        <v>519</v>
      </c>
      <c r="C1147" t="s">
        <v>177</v>
      </c>
      <c r="D1147" t="s">
        <v>426</v>
      </c>
      <c r="E1147" t="s">
        <v>427</v>
      </c>
      <c r="F1147" t="s">
        <v>193</v>
      </c>
      <c r="G1147" t="s">
        <v>193</v>
      </c>
      <c r="H1147" t="s">
        <v>193</v>
      </c>
      <c r="I1147" t="s">
        <v>193</v>
      </c>
      <c r="J1147">
        <v>3.4344</v>
      </c>
      <c r="K1147">
        <v>3.4608</v>
      </c>
      <c r="L1147">
        <v>3.3698</v>
      </c>
      <c r="M1147">
        <v>3.3745</v>
      </c>
      <c r="N1147">
        <v>3.4744</v>
      </c>
      <c r="O1147" t="s">
        <v>193</v>
      </c>
      <c r="P1147" t="s">
        <v>193</v>
      </c>
    </row>
    <row r="1148" spans="1:16" ht="12.75">
      <c r="A1148" s="62" t="str">
        <f t="shared" si="18"/>
        <v>South Africa_Health expenditure, total (% of GDP)</v>
      </c>
      <c r="B1148" t="s">
        <v>519</v>
      </c>
      <c r="C1148" t="s">
        <v>177</v>
      </c>
      <c r="D1148" t="s">
        <v>428</v>
      </c>
      <c r="E1148" t="s">
        <v>429</v>
      </c>
      <c r="F1148" t="s">
        <v>193</v>
      </c>
      <c r="G1148" t="s">
        <v>193</v>
      </c>
      <c r="H1148" t="s">
        <v>193</v>
      </c>
      <c r="I1148" t="s">
        <v>193</v>
      </c>
      <c r="J1148">
        <v>8.1</v>
      </c>
      <c r="K1148">
        <v>8.4</v>
      </c>
      <c r="L1148">
        <v>8.3</v>
      </c>
      <c r="M1148">
        <v>8.5</v>
      </c>
      <c r="N1148">
        <v>8.6</v>
      </c>
      <c r="O1148" t="s">
        <v>193</v>
      </c>
      <c r="P1148" t="s">
        <v>193</v>
      </c>
    </row>
    <row r="1149" spans="1:16" ht="12.75">
      <c r="A1149" s="62" t="str">
        <f t="shared" si="18"/>
        <v>South Africa_GDP (current LCU)</v>
      </c>
      <c r="B1149" t="s">
        <v>519</v>
      </c>
      <c r="C1149" t="s">
        <v>177</v>
      </c>
      <c r="D1149" t="s">
        <v>430</v>
      </c>
      <c r="E1149" t="s">
        <v>431</v>
      </c>
      <c r="F1149">
        <v>617954017280</v>
      </c>
      <c r="G1149">
        <v>685729972224</v>
      </c>
      <c r="H1149">
        <v>742423986176</v>
      </c>
      <c r="I1149">
        <v>813682982912</v>
      </c>
      <c r="J1149">
        <v>922148012032</v>
      </c>
      <c r="K1149">
        <v>1020007022592</v>
      </c>
      <c r="L1149">
        <v>1168777936896</v>
      </c>
      <c r="M1149">
        <v>1260692701184</v>
      </c>
      <c r="N1149">
        <v>1398156558336</v>
      </c>
      <c r="O1149">
        <v>1539252682752</v>
      </c>
      <c r="P1149">
        <v>1726688133120</v>
      </c>
    </row>
    <row r="1150" spans="1:16" ht="12.75">
      <c r="A1150" s="62" t="str">
        <f t="shared" si="18"/>
        <v>South Africa_GDP (current US$)</v>
      </c>
      <c r="B1150" t="s">
        <v>519</v>
      </c>
      <c r="C1150" t="s">
        <v>177</v>
      </c>
      <c r="D1150" t="s">
        <v>432</v>
      </c>
      <c r="E1150" t="s">
        <v>433</v>
      </c>
      <c r="F1150">
        <v>143731998720</v>
      </c>
      <c r="G1150">
        <v>148814168064</v>
      </c>
      <c r="H1150">
        <v>134295560192</v>
      </c>
      <c r="I1150">
        <v>133183586304</v>
      </c>
      <c r="J1150">
        <v>132877647872</v>
      </c>
      <c r="K1150">
        <v>118478979072</v>
      </c>
      <c r="L1150">
        <v>110881865728</v>
      </c>
      <c r="M1150">
        <v>166653591552</v>
      </c>
      <c r="N1150">
        <v>216443207680</v>
      </c>
      <c r="O1150">
        <v>242058919936</v>
      </c>
      <c r="P1150">
        <v>254991564800</v>
      </c>
    </row>
    <row r="1151" spans="1:16" ht="12.75">
      <c r="A1151" s="62" t="str">
        <f t="shared" si="18"/>
        <v>South Africa_GDP per capita, PPP (current international $)</v>
      </c>
      <c r="B1151" t="s">
        <v>519</v>
      </c>
      <c r="C1151" t="s">
        <v>177</v>
      </c>
      <c r="D1151" t="s">
        <v>434</v>
      </c>
      <c r="E1151" t="s">
        <v>435</v>
      </c>
      <c r="F1151">
        <v>8225.06250444333</v>
      </c>
      <c r="G1151">
        <v>8389.60963629006</v>
      </c>
      <c r="H1151">
        <v>8328.57407888069</v>
      </c>
      <c r="I1151">
        <v>8441.87896174256</v>
      </c>
      <c r="J1151">
        <v>8764.45665470178</v>
      </c>
      <c r="K1151">
        <v>9053.92617359689</v>
      </c>
      <c r="L1151">
        <v>9444.74845690803</v>
      </c>
      <c r="M1151">
        <v>9812.01269157494</v>
      </c>
      <c r="N1151">
        <v>10450.3501474317</v>
      </c>
      <c r="O1151">
        <v>11186.817194011</v>
      </c>
      <c r="P1151">
        <v>11960.2089799079</v>
      </c>
    </row>
    <row r="1152" spans="1:16" ht="12.75">
      <c r="A1152" s="62" t="str">
        <f t="shared" si="18"/>
        <v>South Africa_GDP per capita, PPP (constant 2000 international $)</v>
      </c>
      <c r="B1152" t="s">
        <v>519</v>
      </c>
      <c r="C1152" t="s">
        <v>177</v>
      </c>
      <c r="D1152" t="s">
        <v>436</v>
      </c>
      <c r="E1152" t="s">
        <v>437</v>
      </c>
      <c r="F1152">
        <v>8764.51325858325</v>
      </c>
      <c r="G1152">
        <v>8792.97862832708</v>
      </c>
      <c r="H1152">
        <v>8633.09154540973</v>
      </c>
      <c r="I1152">
        <v>8625.8997102541</v>
      </c>
      <c r="J1152">
        <v>8764.45665470178</v>
      </c>
      <c r="K1152">
        <v>8840.96432517064</v>
      </c>
      <c r="L1152">
        <v>9063.96958549571</v>
      </c>
      <c r="M1152">
        <v>9228.6033509105</v>
      </c>
      <c r="N1152">
        <v>9577.66876314575</v>
      </c>
      <c r="O1152">
        <v>9952.42529911072</v>
      </c>
      <c r="P1152">
        <v>10337.7738709247</v>
      </c>
    </row>
    <row r="1153" spans="1:16" ht="12.75">
      <c r="A1153" s="62" t="str">
        <f t="shared" si="18"/>
        <v>South Africa_GINI index</v>
      </c>
      <c r="B1153" t="s">
        <v>519</v>
      </c>
      <c r="C1153" t="s">
        <v>177</v>
      </c>
      <c r="D1153" t="s">
        <v>438</v>
      </c>
      <c r="E1153" t="s">
        <v>439</v>
      </c>
      <c r="F1153" t="s">
        <v>193</v>
      </c>
      <c r="G1153" t="s">
        <v>193</v>
      </c>
      <c r="H1153" t="s">
        <v>193</v>
      </c>
      <c r="I1153" t="s">
        <v>193</v>
      </c>
      <c r="J1153">
        <v>57.78</v>
      </c>
      <c r="K1153" t="s">
        <v>193</v>
      </c>
      <c r="L1153" t="s">
        <v>193</v>
      </c>
      <c r="M1153" t="s">
        <v>193</v>
      </c>
      <c r="N1153" t="s">
        <v>193</v>
      </c>
      <c r="O1153" t="s">
        <v>193</v>
      </c>
      <c r="P1153" t="s">
        <v>193</v>
      </c>
    </row>
    <row r="1154" spans="1:16" ht="12.75">
      <c r="A1154" s="62" t="str">
        <f t="shared" si="18"/>
        <v>Sri Lanka_Poverty headcount ratio at national poverty line (% of population)</v>
      </c>
      <c r="B1154" t="s">
        <v>520</v>
      </c>
      <c r="C1154" t="s">
        <v>236</v>
      </c>
      <c r="D1154" t="s">
        <v>408</v>
      </c>
      <c r="E1154" t="s">
        <v>409</v>
      </c>
      <c r="F1154">
        <v>25</v>
      </c>
      <c r="G1154" t="s">
        <v>193</v>
      </c>
      <c r="H1154" t="s">
        <v>193</v>
      </c>
      <c r="I1154" t="s">
        <v>193</v>
      </c>
      <c r="J1154" t="s">
        <v>193</v>
      </c>
      <c r="K1154" t="s">
        <v>193</v>
      </c>
      <c r="L1154" t="s">
        <v>193</v>
      </c>
      <c r="M1154" t="s">
        <v>193</v>
      </c>
      <c r="N1154" t="s">
        <v>193</v>
      </c>
      <c r="O1154" t="s">
        <v>193</v>
      </c>
      <c r="P1154" t="s">
        <v>193</v>
      </c>
    </row>
    <row r="1155" spans="1:16" ht="12.75">
      <c r="A1155" s="62" t="str">
        <f t="shared" si="18"/>
        <v>Sri Lanka_Poverty headcount ratio at $2 a day (PPP) (% of population)</v>
      </c>
      <c r="B1155" t="s">
        <v>520</v>
      </c>
      <c r="C1155" t="s">
        <v>236</v>
      </c>
      <c r="D1155" t="s">
        <v>410</v>
      </c>
      <c r="E1155" t="s">
        <v>411</v>
      </c>
      <c r="F1155">
        <v>45.35</v>
      </c>
      <c r="G1155" t="s">
        <v>193</v>
      </c>
      <c r="H1155" t="s">
        <v>193</v>
      </c>
      <c r="I1155" t="s">
        <v>193</v>
      </c>
      <c r="J1155" t="s">
        <v>193</v>
      </c>
      <c r="K1155" t="s">
        <v>193</v>
      </c>
      <c r="L1155">
        <v>41.595</v>
      </c>
      <c r="M1155" t="s">
        <v>193</v>
      </c>
      <c r="N1155" t="s">
        <v>193</v>
      </c>
      <c r="O1155" t="s">
        <v>193</v>
      </c>
      <c r="P1155" t="s">
        <v>193</v>
      </c>
    </row>
    <row r="1156" spans="1:16" ht="12.75">
      <c r="A1156" s="62" t="str">
        <f t="shared" si="18"/>
        <v>Sri Lanka_Poverty headcount ratio at $1 a day (PPP) (% of population)</v>
      </c>
      <c r="B1156" t="s">
        <v>520</v>
      </c>
      <c r="C1156" t="s">
        <v>236</v>
      </c>
      <c r="D1156" t="s">
        <v>412</v>
      </c>
      <c r="E1156" t="s">
        <v>413</v>
      </c>
      <c r="F1156">
        <v>6.56</v>
      </c>
      <c r="G1156" t="s">
        <v>193</v>
      </c>
      <c r="H1156" t="s">
        <v>193</v>
      </c>
      <c r="I1156" t="s">
        <v>193</v>
      </c>
      <c r="J1156" t="s">
        <v>193</v>
      </c>
      <c r="K1156" t="s">
        <v>193</v>
      </c>
      <c r="L1156">
        <v>5.552</v>
      </c>
      <c r="M1156" t="s">
        <v>193</v>
      </c>
      <c r="N1156" t="s">
        <v>193</v>
      </c>
      <c r="O1156" t="s">
        <v>193</v>
      </c>
      <c r="P1156" t="s">
        <v>193</v>
      </c>
    </row>
    <row r="1157" spans="1:16" ht="12.75">
      <c r="A1157" s="62" t="str">
        <f t="shared" si="18"/>
        <v>Sri Lanka_Poverty gap at $1 a day (PPP) (%)</v>
      </c>
      <c r="B1157" t="s">
        <v>520</v>
      </c>
      <c r="C1157" t="s">
        <v>236</v>
      </c>
      <c r="D1157" t="s">
        <v>414</v>
      </c>
      <c r="E1157" t="s">
        <v>415</v>
      </c>
      <c r="F1157">
        <v>1</v>
      </c>
      <c r="G1157" t="s">
        <v>193</v>
      </c>
      <c r="H1157" t="s">
        <v>193</v>
      </c>
      <c r="I1157" t="s">
        <v>193</v>
      </c>
      <c r="J1157" t="s">
        <v>193</v>
      </c>
      <c r="K1157" t="s">
        <v>193</v>
      </c>
      <c r="L1157">
        <v>0.84</v>
      </c>
      <c r="M1157" t="s">
        <v>193</v>
      </c>
      <c r="N1157" t="s">
        <v>193</v>
      </c>
      <c r="O1157" t="s">
        <v>193</v>
      </c>
      <c r="P1157" t="s">
        <v>193</v>
      </c>
    </row>
    <row r="1158" spans="1:16" ht="12.75">
      <c r="A1158" s="62" t="str">
        <f t="shared" si="18"/>
        <v>Sri Lanka_Poverty gap at $2 a day (PPP) (%)</v>
      </c>
      <c r="B1158" t="s">
        <v>520</v>
      </c>
      <c r="C1158" t="s">
        <v>236</v>
      </c>
      <c r="D1158" t="s">
        <v>416</v>
      </c>
      <c r="E1158" t="s">
        <v>417</v>
      </c>
      <c r="F1158">
        <v>13.49</v>
      </c>
      <c r="G1158" t="s">
        <v>193</v>
      </c>
      <c r="H1158" t="s">
        <v>193</v>
      </c>
      <c r="I1158" t="s">
        <v>193</v>
      </c>
      <c r="J1158" t="s">
        <v>193</v>
      </c>
      <c r="K1158" t="s">
        <v>193</v>
      </c>
      <c r="L1158">
        <v>11.924</v>
      </c>
      <c r="M1158" t="s">
        <v>193</v>
      </c>
      <c r="N1158" t="s">
        <v>193</v>
      </c>
      <c r="O1158" t="s">
        <v>193</v>
      </c>
      <c r="P1158" t="s">
        <v>193</v>
      </c>
    </row>
    <row r="1159" spans="1:16" ht="12.75">
      <c r="A1159" s="62" t="str">
        <f t="shared" si="18"/>
        <v>Sri Lanka_Population, total</v>
      </c>
      <c r="B1159" t="s">
        <v>520</v>
      </c>
      <c r="C1159" t="s">
        <v>236</v>
      </c>
      <c r="D1159" t="s">
        <v>418</v>
      </c>
      <c r="E1159" t="s">
        <v>419</v>
      </c>
      <c r="F1159">
        <v>18336000</v>
      </c>
      <c r="G1159">
        <v>18567000</v>
      </c>
      <c r="H1159">
        <v>18774000</v>
      </c>
      <c r="I1159">
        <v>19043000</v>
      </c>
      <c r="J1159">
        <v>19359000</v>
      </c>
      <c r="K1159">
        <v>18732000</v>
      </c>
      <c r="L1159">
        <v>19007000</v>
      </c>
      <c r="M1159">
        <v>19253000</v>
      </c>
      <c r="N1159">
        <v>19462000</v>
      </c>
      <c r="O1159">
        <v>19625383.5088184</v>
      </c>
      <c r="P1159">
        <v>19771320.2022352</v>
      </c>
    </row>
    <row r="1160" spans="1:16" ht="12.75">
      <c r="A1160" s="62" t="str">
        <f t="shared" si="18"/>
        <v>Sri Lanka_Public spending on education, total (% of GDP)</v>
      </c>
      <c r="B1160" t="s">
        <v>520</v>
      </c>
      <c r="C1160" t="s">
        <v>236</v>
      </c>
      <c r="D1160" t="s">
        <v>420</v>
      </c>
      <c r="E1160" t="s">
        <v>421</v>
      </c>
      <c r="F1160" t="s">
        <v>193</v>
      </c>
      <c r="G1160" t="s">
        <v>193</v>
      </c>
      <c r="H1160" t="s">
        <v>193</v>
      </c>
      <c r="I1160" t="s">
        <v>193</v>
      </c>
      <c r="J1160" t="s">
        <v>193</v>
      </c>
      <c r="K1160" t="s">
        <v>193</v>
      </c>
      <c r="L1160" t="s">
        <v>193</v>
      </c>
      <c r="M1160" t="s">
        <v>193</v>
      </c>
      <c r="N1160" t="s">
        <v>193</v>
      </c>
      <c r="O1160" t="s">
        <v>193</v>
      </c>
      <c r="P1160" t="s">
        <v>193</v>
      </c>
    </row>
    <row r="1161" spans="1:16" ht="12.75">
      <c r="A1161" s="62" t="str">
        <f t="shared" si="18"/>
        <v>Sri Lanka_Public spending on education, total (% of government expenditure)</v>
      </c>
      <c r="B1161" t="s">
        <v>520</v>
      </c>
      <c r="C1161" t="s">
        <v>236</v>
      </c>
      <c r="D1161" t="s">
        <v>422</v>
      </c>
      <c r="E1161" t="s">
        <v>423</v>
      </c>
      <c r="F1161" t="s">
        <v>193</v>
      </c>
      <c r="G1161" t="s">
        <v>193</v>
      </c>
      <c r="H1161" t="s">
        <v>193</v>
      </c>
      <c r="I1161" t="s">
        <v>193</v>
      </c>
      <c r="J1161" t="s">
        <v>193</v>
      </c>
      <c r="K1161" t="s">
        <v>193</v>
      </c>
      <c r="L1161" t="s">
        <v>193</v>
      </c>
      <c r="M1161" t="s">
        <v>193</v>
      </c>
      <c r="N1161" t="s">
        <v>193</v>
      </c>
      <c r="O1161" t="s">
        <v>193</v>
      </c>
      <c r="P1161" t="s">
        <v>193</v>
      </c>
    </row>
    <row r="1162" spans="1:16" ht="12.75">
      <c r="A1162" s="62" t="str">
        <f t="shared" si="18"/>
        <v>Sri Lanka_Health expenditure, public (% of total health expenditure)</v>
      </c>
      <c r="B1162" t="s">
        <v>520</v>
      </c>
      <c r="C1162" t="s">
        <v>236</v>
      </c>
      <c r="D1162" t="s">
        <v>424</v>
      </c>
      <c r="E1162" t="s">
        <v>425</v>
      </c>
      <c r="F1162" t="s">
        <v>193</v>
      </c>
      <c r="G1162" t="s">
        <v>193</v>
      </c>
      <c r="H1162" t="s">
        <v>193</v>
      </c>
      <c r="I1162" t="s">
        <v>193</v>
      </c>
      <c r="J1162">
        <v>47.6</v>
      </c>
      <c r="K1162">
        <v>45</v>
      </c>
      <c r="L1162">
        <v>43.3</v>
      </c>
      <c r="M1162">
        <v>41.1</v>
      </c>
      <c r="N1162">
        <v>45.6</v>
      </c>
      <c r="O1162" t="s">
        <v>193</v>
      </c>
      <c r="P1162" t="s">
        <v>193</v>
      </c>
    </row>
    <row r="1163" spans="1:16" ht="12.75">
      <c r="A1163" s="62" t="str">
        <f t="shared" si="18"/>
        <v>Sri Lanka_Health expenditure, public (% of GDP)</v>
      </c>
      <c r="B1163" t="s">
        <v>520</v>
      </c>
      <c r="C1163" t="s">
        <v>236</v>
      </c>
      <c r="D1163" t="s">
        <v>426</v>
      </c>
      <c r="E1163" t="s">
        <v>427</v>
      </c>
      <c r="F1163" t="s">
        <v>193</v>
      </c>
      <c r="G1163" t="s">
        <v>193</v>
      </c>
      <c r="H1163" t="s">
        <v>193</v>
      </c>
      <c r="I1163" t="s">
        <v>193</v>
      </c>
      <c r="J1163">
        <v>1.8088</v>
      </c>
      <c r="K1163">
        <v>1.755</v>
      </c>
      <c r="L1163">
        <v>1.6887</v>
      </c>
      <c r="M1163">
        <v>1.6851</v>
      </c>
      <c r="N1163">
        <v>1.9608</v>
      </c>
      <c r="O1163" t="s">
        <v>193</v>
      </c>
      <c r="P1163" t="s">
        <v>193</v>
      </c>
    </row>
    <row r="1164" spans="1:16" ht="12.75">
      <c r="A1164" s="62" t="str">
        <f t="shared" si="18"/>
        <v>Sri Lanka_Health expenditure, total (% of GDP)</v>
      </c>
      <c r="B1164" t="s">
        <v>520</v>
      </c>
      <c r="C1164" t="s">
        <v>236</v>
      </c>
      <c r="D1164" t="s">
        <v>428</v>
      </c>
      <c r="E1164" t="s">
        <v>429</v>
      </c>
      <c r="F1164" t="s">
        <v>193</v>
      </c>
      <c r="G1164" t="s">
        <v>193</v>
      </c>
      <c r="H1164" t="s">
        <v>193</v>
      </c>
      <c r="I1164" t="s">
        <v>193</v>
      </c>
      <c r="J1164">
        <v>3.8</v>
      </c>
      <c r="K1164">
        <v>3.9</v>
      </c>
      <c r="L1164">
        <v>3.9</v>
      </c>
      <c r="M1164">
        <v>4.1</v>
      </c>
      <c r="N1164">
        <v>4.3</v>
      </c>
      <c r="O1164" t="s">
        <v>193</v>
      </c>
      <c r="P1164" t="s">
        <v>193</v>
      </c>
    </row>
    <row r="1165" spans="1:16" ht="12.75">
      <c r="A1165" s="62" t="str">
        <f t="shared" si="18"/>
        <v>Sri Lanka_GDP (current LCU)</v>
      </c>
      <c r="B1165" t="s">
        <v>520</v>
      </c>
      <c r="C1165" t="s">
        <v>236</v>
      </c>
      <c r="D1165" t="s">
        <v>430</v>
      </c>
      <c r="E1165" t="s">
        <v>431</v>
      </c>
      <c r="F1165">
        <v>768127991808</v>
      </c>
      <c r="G1165">
        <v>890272022528</v>
      </c>
      <c r="H1165">
        <v>1017999982592</v>
      </c>
      <c r="I1165">
        <v>1105964040192</v>
      </c>
      <c r="J1165">
        <v>1257635971072</v>
      </c>
      <c r="K1165">
        <v>1407398051840</v>
      </c>
      <c r="L1165">
        <v>1581885030400</v>
      </c>
      <c r="M1165">
        <v>1761160986624</v>
      </c>
      <c r="N1165">
        <v>2029364969472</v>
      </c>
      <c r="O1165">
        <v>2365592961024</v>
      </c>
      <c r="P1165">
        <v>2801828102144</v>
      </c>
    </row>
    <row r="1166" spans="1:16" ht="12.75">
      <c r="A1166" s="62" t="str">
        <f t="shared" si="18"/>
        <v>Sri Lanka_GDP (current US$)</v>
      </c>
      <c r="B1166" t="s">
        <v>520</v>
      </c>
      <c r="C1166" t="s">
        <v>236</v>
      </c>
      <c r="D1166" t="s">
        <v>432</v>
      </c>
      <c r="E1166" t="s">
        <v>433</v>
      </c>
      <c r="F1166">
        <v>13897376768</v>
      </c>
      <c r="G1166">
        <v>15090734080</v>
      </c>
      <c r="H1166">
        <v>15795189760</v>
      </c>
      <c r="I1166">
        <v>15657450496</v>
      </c>
      <c r="J1166">
        <v>16331874304</v>
      </c>
      <c r="K1166">
        <v>15745700864</v>
      </c>
      <c r="L1166">
        <v>16536189952</v>
      </c>
      <c r="M1166">
        <v>18246402048</v>
      </c>
      <c r="N1166">
        <v>20054202368</v>
      </c>
      <c r="O1166">
        <v>23538239488</v>
      </c>
      <c r="P1166">
        <v>26966583296</v>
      </c>
    </row>
    <row r="1167" spans="1:16" ht="12.75">
      <c r="A1167" s="62" t="str">
        <f t="shared" si="18"/>
        <v>Sri Lanka_GDP per capita, PPP (current international $)</v>
      </c>
      <c r="B1167" t="s">
        <v>520</v>
      </c>
      <c r="C1167" t="s">
        <v>236</v>
      </c>
      <c r="D1167" t="s">
        <v>434</v>
      </c>
      <c r="E1167" t="s">
        <v>435</v>
      </c>
      <c r="F1167">
        <v>2769.99995121335</v>
      </c>
      <c r="G1167">
        <v>2959.27182040282</v>
      </c>
      <c r="H1167">
        <v>3098.19242245726</v>
      </c>
      <c r="I1167">
        <v>3231.81826656559</v>
      </c>
      <c r="J1167">
        <v>3443.26562606635</v>
      </c>
      <c r="K1167">
        <v>3587.91991225039</v>
      </c>
      <c r="L1167">
        <v>3740.53464473454</v>
      </c>
      <c r="M1167">
        <v>3994.71881452715</v>
      </c>
      <c r="N1167">
        <v>4276.43326515057</v>
      </c>
      <c r="O1167">
        <v>4632.17265744021</v>
      </c>
      <c r="P1167">
        <v>5080.59939402782</v>
      </c>
    </row>
    <row r="1168" spans="1:16" ht="12.75">
      <c r="A1168" s="62" t="str">
        <f t="shared" si="18"/>
        <v>Sri Lanka_GDP per capita, PPP (constant 2000 international $)</v>
      </c>
      <c r="B1168" t="s">
        <v>520</v>
      </c>
      <c r="C1168" t="s">
        <v>236</v>
      </c>
      <c r="D1168" t="s">
        <v>436</v>
      </c>
      <c r="E1168" t="s">
        <v>437</v>
      </c>
      <c r="F1168">
        <v>2951.67377580037</v>
      </c>
      <c r="G1168">
        <v>3101.55239639006</v>
      </c>
      <c r="H1168">
        <v>3211.47156224405</v>
      </c>
      <c r="I1168">
        <v>3302.26722930976</v>
      </c>
      <c r="J1168">
        <v>3443.26562606635</v>
      </c>
      <c r="K1168">
        <v>3503.52668417809</v>
      </c>
      <c r="L1168">
        <v>3589.7295103258</v>
      </c>
      <c r="M1168">
        <v>3757.19809956474</v>
      </c>
      <c r="N1168">
        <v>3919.31951786094</v>
      </c>
      <c r="O1168">
        <v>4121.04279047643</v>
      </c>
      <c r="P1168">
        <v>4391.4021696819</v>
      </c>
    </row>
    <row r="1169" spans="1:16" ht="12.75">
      <c r="A1169" s="62" t="str">
        <f t="shared" si="18"/>
        <v>Sri Lanka_GINI index</v>
      </c>
      <c r="B1169" t="s">
        <v>520</v>
      </c>
      <c r="C1169" t="s">
        <v>236</v>
      </c>
      <c r="D1169" t="s">
        <v>438</v>
      </c>
      <c r="E1169" t="s">
        <v>439</v>
      </c>
      <c r="F1169">
        <v>34.36</v>
      </c>
      <c r="G1169" t="s">
        <v>193</v>
      </c>
      <c r="H1169" t="s">
        <v>193</v>
      </c>
      <c r="I1169" t="s">
        <v>193</v>
      </c>
      <c r="J1169" t="s">
        <v>193</v>
      </c>
      <c r="K1169" t="s">
        <v>193</v>
      </c>
      <c r="L1169">
        <v>40.17</v>
      </c>
      <c r="M1169" t="s">
        <v>193</v>
      </c>
      <c r="N1169" t="s">
        <v>193</v>
      </c>
      <c r="O1169" t="s">
        <v>193</v>
      </c>
      <c r="P1169" t="s">
        <v>193</v>
      </c>
    </row>
    <row r="1170" spans="1:16" ht="12.75">
      <c r="A1170" s="62" t="str">
        <f t="shared" si="18"/>
        <v>St. Kitts and Nevis_Poverty headcount ratio at national poverty line (% of population)</v>
      </c>
      <c r="B1170" t="s">
        <v>521</v>
      </c>
      <c r="C1170" t="s">
        <v>256</v>
      </c>
      <c r="D1170" t="s">
        <v>408</v>
      </c>
      <c r="E1170" t="s">
        <v>409</v>
      </c>
      <c r="F1170" t="s">
        <v>193</v>
      </c>
      <c r="G1170" t="s">
        <v>193</v>
      </c>
      <c r="H1170" t="s">
        <v>193</v>
      </c>
      <c r="I1170" t="s">
        <v>193</v>
      </c>
      <c r="J1170" t="s">
        <v>193</v>
      </c>
      <c r="K1170" t="s">
        <v>193</v>
      </c>
      <c r="L1170" t="s">
        <v>193</v>
      </c>
      <c r="M1170" t="s">
        <v>193</v>
      </c>
      <c r="N1170" t="s">
        <v>193</v>
      </c>
      <c r="O1170" t="s">
        <v>193</v>
      </c>
      <c r="P1170" t="s">
        <v>193</v>
      </c>
    </row>
    <row r="1171" spans="1:16" ht="12.75">
      <c r="A1171" s="62" t="str">
        <f t="shared" si="18"/>
        <v>St. Kitts and Nevis_Poverty headcount ratio at $2 a day (PPP) (% of population)</v>
      </c>
      <c r="B1171" t="s">
        <v>521</v>
      </c>
      <c r="C1171" t="s">
        <v>256</v>
      </c>
      <c r="D1171" t="s">
        <v>410</v>
      </c>
      <c r="E1171" t="s">
        <v>411</v>
      </c>
      <c r="F1171" t="s">
        <v>193</v>
      </c>
      <c r="G1171" t="s">
        <v>193</v>
      </c>
      <c r="H1171" t="s">
        <v>193</v>
      </c>
      <c r="I1171" t="s">
        <v>193</v>
      </c>
      <c r="J1171" t="s">
        <v>193</v>
      </c>
      <c r="K1171" t="s">
        <v>193</v>
      </c>
      <c r="L1171" t="s">
        <v>193</v>
      </c>
      <c r="M1171" t="s">
        <v>193</v>
      </c>
      <c r="N1171" t="s">
        <v>193</v>
      </c>
      <c r="O1171" t="s">
        <v>193</v>
      </c>
      <c r="P1171" t="s">
        <v>193</v>
      </c>
    </row>
    <row r="1172" spans="1:16" ht="12.75">
      <c r="A1172" s="62" t="str">
        <f t="shared" si="18"/>
        <v>St. Kitts and Nevis_Poverty headcount ratio at $1 a day (PPP) (% of population)</v>
      </c>
      <c r="B1172" t="s">
        <v>521</v>
      </c>
      <c r="C1172" t="s">
        <v>256</v>
      </c>
      <c r="D1172" t="s">
        <v>412</v>
      </c>
      <c r="E1172" t="s">
        <v>413</v>
      </c>
      <c r="F1172" t="s">
        <v>193</v>
      </c>
      <c r="G1172" t="s">
        <v>193</v>
      </c>
      <c r="H1172" t="s">
        <v>193</v>
      </c>
      <c r="I1172" t="s">
        <v>193</v>
      </c>
      <c r="J1172" t="s">
        <v>193</v>
      </c>
      <c r="K1172" t="s">
        <v>193</v>
      </c>
      <c r="L1172" t="s">
        <v>193</v>
      </c>
      <c r="M1172" t="s">
        <v>193</v>
      </c>
      <c r="N1172" t="s">
        <v>193</v>
      </c>
      <c r="O1172" t="s">
        <v>193</v>
      </c>
      <c r="P1172" t="s">
        <v>193</v>
      </c>
    </row>
    <row r="1173" spans="1:16" ht="12.75">
      <c r="A1173" s="62" t="str">
        <f t="shared" si="18"/>
        <v>St. Kitts and Nevis_Poverty gap at $1 a day (PPP) (%)</v>
      </c>
      <c r="B1173" t="s">
        <v>521</v>
      </c>
      <c r="C1173" t="s">
        <v>256</v>
      </c>
      <c r="D1173" t="s">
        <v>414</v>
      </c>
      <c r="E1173" t="s">
        <v>415</v>
      </c>
      <c r="F1173" t="s">
        <v>193</v>
      </c>
      <c r="G1173" t="s">
        <v>193</v>
      </c>
      <c r="H1173" t="s">
        <v>193</v>
      </c>
      <c r="I1173" t="s">
        <v>193</v>
      </c>
      <c r="J1173" t="s">
        <v>193</v>
      </c>
      <c r="K1173" t="s">
        <v>193</v>
      </c>
      <c r="L1173" t="s">
        <v>193</v>
      </c>
      <c r="M1173" t="s">
        <v>193</v>
      </c>
      <c r="N1173" t="s">
        <v>193</v>
      </c>
      <c r="O1173" t="s">
        <v>193</v>
      </c>
      <c r="P1173" t="s">
        <v>193</v>
      </c>
    </row>
    <row r="1174" spans="1:16" ht="12.75">
      <c r="A1174" s="62" t="str">
        <f t="shared" si="18"/>
        <v>St. Kitts and Nevis_Poverty gap at $2 a day (PPP) (%)</v>
      </c>
      <c r="B1174" t="s">
        <v>521</v>
      </c>
      <c r="C1174" t="s">
        <v>256</v>
      </c>
      <c r="D1174" t="s">
        <v>416</v>
      </c>
      <c r="E1174" t="s">
        <v>417</v>
      </c>
      <c r="F1174" t="s">
        <v>193</v>
      </c>
      <c r="G1174" t="s">
        <v>193</v>
      </c>
      <c r="H1174" t="s">
        <v>193</v>
      </c>
      <c r="I1174" t="s">
        <v>193</v>
      </c>
      <c r="J1174" t="s">
        <v>193</v>
      </c>
      <c r="K1174" t="s">
        <v>193</v>
      </c>
      <c r="L1174" t="s">
        <v>193</v>
      </c>
      <c r="M1174" t="s">
        <v>193</v>
      </c>
      <c r="N1174" t="s">
        <v>193</v>
      </c>
      <c r="O1174" t="s">
        <v>193</v>
      </c>
      <c r="P1174" t="s">
        <v>193</v>
      </c>
    </row>
    <row r="1175" spans="1:16" ht="12.75">
      <c r="A1175" s="62" t="str">
        <f t="shared" si="18"/>
        <v>St. Kitts and Nevis_Population, total</v>
      </c>
      <c r="B1175" t="s">
        <v>521</v>
      </c>
      <c r="C1175" t="s">
        <v>256</v>
      </c>
      <c r="D1175" t="s">
        <v>418</v>
      </c>
      <c r="E1175" t="s">
        <v>419</v>
      </c>
      <c r="F1175">
        <v>40870</v>
      </c>
      <c r="G1175">
        <v>40740</v>
      </c>
      <c r="H1175">
        <v>40130</v>
      </c>
      <c r="I1175">
        <v>42260</v>
      </c>
      <c r="J1175">
        <v>44286</v>
      </c>
      <c r="K1175">
        <v>46111</v>
      </c>
      <c r="L1175">
        <v>46710</v>
      </c>
      <c r="M1175">
        <v>46710</v>
      </c>
      <c r="N1175">
        <v>46984.8114170354</v>
      </c>
      <c r="O1175">
        <v>48000</v>
      </c>
      <c r="P1175">
        <v>48393.495287864</v>
      </c>
    </row>
    <row r="1176" spans="1:16" ht="12.75">
      <c r="A1176" s="62" t="str">
        <f t="shared" si="18"/>
        <v>St. Kitts and Nevis_Public spending on education, total (% of GDP)</v>
      </c>
      <c r="B1176" t="s">
        <v>521</v>
      </c>
      <c r="C1176" t="s">
        <v>256</v>
      </c>
      <c r="D1176" t="s">
        <v>420</v>
      </c>
      <c r="E1176" t="s">
        <v>421</v>
      </c>
      <c r="F1176" t="s">
        <v>193</v>
      </c>
      <c r="G1176" t="s">
        <v>193</v>
      </c>
      <c r="H1176" t="s">
        <v>193</v>
      </c>
      <c r="I1176">
        <v>5.08484239368548</v>
      </c>
      <c r="J1176">
        <v>6.36610832260314</v>
      </c>
      <c r="K1176">
        <v>8.04995957152903</v>
      </c>
      <c r="L1176">
        <v>3.23275811737045</v>
      </c>
      <c r="M1176">
        <v>4.41575528480097</v>
      </c>
      <c r="N1176">
        <v>4.41390172201493</v>
      </c>
      <c r="O1176">
        <v>9.34537972354513</v>
      </c>
      <c r="P1176" t="s">
        <v>193</v>
      </c>
    </row>
    <row r="1177" spans="1:16" ht="12.75">
      <c r="A1177" s="62" t="str">
        <f t="shared" si="18"/>
        <v>St. Kitts and Nevis_Public spending on education, total (% of government expenditure)</v>
      </c>
      <c r="B1177" t="s">
        <v>521</v>
      </c>
      <c r="C1177" t="s">
        <v>256</v>
      </c>
      <c r="D1177" t="s">
        <v>422</v>
      </c>
      <c r="E1177" t="s">
        <v>423</v>
      </c>
      <c r="F1177" t="s">
        <v>193</v>
      </c>
      <c r="G1177" t="s">
        <v>193</v>
      </c>
      <c r="H1177" t="s">
        <v>193</v>
      </c>
      <c r="I1177">
        <v>13.3276199336056</v>
      </c>
      <c r="J1177">
        <v>14.6764177851697</v>
      </c>
      <c r="K1177">
        <v>20.1265210734145</v>
      </c>
      <c r="L1177">
        <v>7.9045045504372</v>
      </c>
      <c r="M1177">
        <v>12.7087045803092</v>
      </c>
      <c r="N1177" t="s">
        <v>193</v>
      </c>
      <c r="O1177" t="s">
        <v>193</v>
      </c>
      <c r="P1177" t="s">
        <v>193</v>
      </c>
    </row>
    <row r="1178" spans="1:16" ht="12.75">
      <c r="A1178" s="62" t="str">
        <f t="shared" si="18"/>
        <v>St. Kitts and Nevis_Health expenditure, public (% of total health expenditure)</v>
      </c>
      <c r="B1178" t="s">
        <v>521</v>
      </c>
      <c r="C1178" t="s">
        <v>256</v>
      </c>
      <c r="D1178" t="s">
        <v>424</v>
      </c>
      <c r="E1178" t="s">
        <v>425</v>
      </c>
      <c r="F1178" t="s">
        <v>193</v>
      </c>
      <c r="G1178" t="s">
        <v>193</v>
      </c>
      <c r="H1178" t="s">
        <v>193</v>
      </c>
      <c r="I1178" t="s">
        <v>193</v>
      </c>
      <c r="J1178">
        <v>63.7</v>
      </c>
      <c r="K1178">
        <v>64.2</v>
      </c>
      <c r="L1178">
        <v>63.3</v>
      </c>
      <c r="M1178">
        <v>63.8</v>
      </c>
      <c r="N1178">
        <v>63.2</v>
      </c>
      <c r="O1178" t="s">
        <v>193</v>
      </c>
      <c r="P1178" t="s">
        <v>193</v>
      </c>
    </row>
    <row r="1179" spans="1:16" ht="12.75">
      <c r="A1179" s="62" t="str">
        <f t="shared" si="18"/>
        <v>St. Kitts and Nevis_Health expenditure, public (% of GDP)</v>
      </c>
      <c r="B1179" t="s">
        <v>521</v>
      </c>
      <c r="C1179" t="s">
        <v>256</v>
      </c>
      <c r="D1179" t="s">
        <v>426</v>
      </c>
      <c r="E1179" t="s">
        <v>427</v>
      </c>
      <c r="F1179" t="s">
        <v>193</v>
      </c>
      <c r="G1179" t="s">
        <v>193</v>
      </c>
      <c r="H1179" t="s">
        <v>193</v>
      </c>
      <c r="I1179" t="s">
        <v>193</v>
      </c>
      <c r="J1179">
        <v>3.5672</v>
      </c>
      <c r="K1179">
        <v>3.4668</v>
      </c>
      <c r="L1179">
        <v>3.4815</v>
      </c>
      <c r="M1179">
        <v>3.3814</v>
      </c>
      <c r="N1179">
        <v>3.2864</v>
      </c>
      <c r="O1179" t="s">
        <v>193</v>
      </c>
      <c r="P1179" t="s">
        <v>193</v>
      </c>
    </row>
    <row r="1180" spans="1:16" ht="12.75">
      <c r="A1180" s="62" t="str">
        <f t="shared" si="18"/>
        <v>St. Kitts and Nevis_Health expenditure, total (% of GDP)</v>
      </c>
      <c r="B1180" t="s">
        <v>521</v>
      </c>
      <c r="C1180" t="s">
        <v>256</v>
      </c>
      <c r="D1180" t="s">
        <v>428</v>
      </c>
      <c r="E1180" t="s">
        <v>429</v>
      </c>
      <c r="F1180" t="s">
        <v>193</v>
      </c>
      <c r="G1180" t="s">
        <v>193</v>
      </c>
      <c r="H1180" t="s">
        <v>193</v>
      </c>
      <c r="I1180" t="s">
        <v>193</v>
      </c>
      <c r="J1180">
        <v>5.6</v>
      </c>
      <c r="K1180">
        <v>5.4</v>
      </c>
      <c r="L1180">
        <v>5.5</v>
      </c>
      <c r="M1180">
        <v>5.3</v>
      </c>
      <c r="N1180">
        <v>5.2</v>
      </c>
      <c r="O1180" t="s">
        <v>193</v>
      </c>
      <c r="P1180" t="s">
        <v>193</v>
      </c>
    </row>
    <row r="1181" spans="1:16" ht="12.75">
      <c r="A1181" s="62" t="str">
        <f t="shared" si="18"/>
        <v>St. Kitts and Nevis_GDP (current LCU)</v>
      </c>
      <c r="B1181" t="s">
        <v>521</v>
      </c>
      <c r="C1181" t="s">
        <v>256</v>
      </c>
      <c r="D1181" t="s">
        <v>430</v>
      </c>
      <c r="E1181" t="s">
        <v>431</v>
      </c>
      <c r="F1181">
        <v>663000000</v>
      </c>
      <c r="G1181">
        <v>742000000</v>
      </c>
      <c r="H1181">
        <v>775000000</v>
      </c>
      <c r="I1181">
        <v>822700032</v>
      </c>
      <c r="J1181">
        <v>888849984</v>
      </c>
      <c r="K1181">
        <v>924529984</v>
      </c>
      <c r="L1181">
        <v>947590016</v>
      </c>
      <c r="M1181">
        <v>985809984</v>
      </c>
      <c r="N1181">
        <v>1092220032</v>
      </c>
      <c r="O1181">
        <v>1223100032</v>
      </c>
      <c r="P1181">
        <v>1314000000</v>
      </c>
    </row>
    <row r="1182" spans="1:16" ht="12.75">
      <c r="A1182" s="62" t="str">
        <f t="shared" si="18"/>
        <v>St. Kitts and Nevis_GDP (current US$)</v>
      </c>
      <c r="B1182" t="s">
        <v>521</v>
      </c>
      <c r="C1182" t="s">
        <v>256</v>
      </c>
      <c r="D1182" t="s">
        <v>432</v>
      </c>
      <c r="E1182" t="s">
        <v>433</v>
      </c>
      <c r="F1182">
        <v>245555552</v>
      </c>
      <c r="G1182">
        <v>274814816</v>
      </c>
      <c r="H1182">
        <v>287037024</v>
      </c>
      <c r="I1182">
        <v>304703712</v>
      </c>
      <c r="J1182">
        <v>329203712</v>
      </c>
      <c r="K1182">
        <v>342418528</v>
      </c>
      <c r="L1182">
        <v>350959264</v>
      </c>
      <c r="M1182">
        <v>365114816</v>
      </c>
      <c r="N1182">
        <v>404525920</v>
      </c>
      <c r="O1182">
        <v>453000000</v>
      </c>
      <c r="P1182">
        <v>486666656</v>
      </c>
    </row>
    <row r="1183" spans="1:16" ht="12.75">
      <c r="A1183" s="62" t="str">
        <f t="shared" si="18"/>
        <v>St. Kitts and Nevis_GDP per capita, PPP (current international $)</v>
      </c>
      <c r="B1183" t="s">
        <v>521</v>
      </c>
      <c r="C1183" t="s">
        <v>256</v>
      </c>
      <c r="D1183" t="s">
        <v>434</v>
      </c>
      <c r="E1183" t="s">
        <v>435</v>
      </c>
      <c r="F1183">
        <v>9691.99982929955</v>
      </c>
      <c r="G1183">
        <v>10554.5870844199</v>
      </c>
      <c r="H1183">
        <v>10957.9731885524</v>
      </c>
      <c r="I1183">
        <v>11106.0566559789</v>
      </c>
      <c r="J1183">
        <v>11132.205476623</v>
      </c>
      <c r="K1183">
        <v>11167.8919389487</v>
      </c>
      <c r="L1183">
        <v>11322.1842513876</v>
      </c>
      <c r="M1183">
        <v>11642.6060238723</v>
      </c>
      <c r="N1183">
        <v>12922.7558112066</v>
      </c>
      <c r="O1183">
        <v>13565.2783944908</v>
      </c>
      <c r="P1183">
        <v>14486.0091597517</v>
      </c>
    </row>
    <row r="1184" spans="1:16" ht="12.75">
      <c r="A1184" s="62" t="str">
        <f t="shared" si="18"/>
        <v>St. Kitts and Nevis_GDP per capita, PPP (constant 2000 international $)</v>
      </c>
      <c r="B1184" t="s">
        <v>521</v>
      </c>
      <c r="C1184" t="s">
        <v>256</v>
      </c>
      <c r="D1184" t="s">
        <v>436</v>
      </c>
      <c r="E1184" t="s">
        <v>437</v>
      </c>
      <c r="F1184">
        <v>10327.6614566994</v>
      </c>
      <c r="G1184">
        <v>11062.0473046421</v>
      </c>
      <c r="H1184">
        <v>11358.6293155277</v>
      </c>
      <c r="I1184">
        <v>11348.1526239627</v>
      </c>
      <c r="J1184">
        <v>11132.205476623</v>
      </c>
      <c r="K1184">
        <v>10905.2064625331</v>
      </c>
      <c r="L1184">
        <v>10865.7138053152</v>
      </c>
      <c r="M1184">
        <v>10950.3520167168</v>
      </c>
      <c r="N1184">
        <v>11843.6103021076</v>
      </c>
      <c r="O1184">
        <v>12068.438908172</v>
      </c>
      <c r="P1184">
        <v>12520.942337816</v>
      </c>
    </row>
    <row r="1185" spans="1:16" ht="12.75">
      <c r="A1185" s="62" t="str">
        <f t="shared" si="18"/>
        <v>St. Kitts and Nevis_GINI index</v>
      </c>
      <c r="B1185" t="s">
        <v>521</v>
      </c>
      <c r="C1185" t="s">
        <v>256</v>
      </c>
      <c r="D1185" t="s">
        <v>438</v>
      </c>
      <c r="E1185" t="s">
        <v>439</v>
      </c>
      <c r="F1185" t="s">
        <v>193</v>
      </c>
      <c r="G1185" t="s">
        <v>193</v>
      </c>
      <c r="H1185" t="s">
        <v>193</v>
      </c>
      <c r="I1185" t="s">
        <v>193</v>
      </c>
      <c r="J1185" t="s">
        <v>193</v>
      </c>
      <c r="K1185" t="s">
        <v>193</v>
      </c>
      <c r="L1185" t="s">
        <v>193</v>
      </c>
      <c r="M1185" t="s">
        <v>193</v>
      </c>
      <c r="N1185" t="s">
        <v>193</v>
      </c>
      <c r="O1185" t="s">
        <v>193</v>
      </c>
      <c r="P1185" t="s">
        <v>193</v>
      </c>
    </row>
    <row r="1186" spans="1:16" ht="12.75">
      <c r="A1186" s="62" t="str">
        <f t="shared" si="18"/>
        <v>St. Lucia_Poverty headcount ratio at national poverty line (% of population)</v>
      </c>
      <c r="B1186" t="s">
        <v>522</v>
      </c>
      <c r="C1186" t="s">
        <v>255</v>
      </c>
      <c r="D1186" t="s">
        <v>408</v>
      </c>
      <c r="E1186" t="s">
        <v>409</v>
      </c>
      <c r="F1186" t="s">
        <v>193</v>
      </c>
      <c r="G1186" t="s">
        <v>193</v>
      </c>
      <c r="H1186" t="s">
        <v>193</v>
      </c>
      <c r="I1186" t="s">
        <v>193</v>
      </c>
      <c r="J1186" t="s">
        <v>193</v>
      </c>
      <c r="K1186" t="s">
        <v>193</v>
      </c>
      <c r="L1186" t="s">
        <v>193</v>
      </c>
      <c r="M1186" t="s">
        <v>193</v>
      </c>
      <c r="N1186" t="s">
        <v>193</v>
      </c>
      <c r="O1186" t="s">
        <v>193</v>
      </c>
      <c r="P1186" t="s">
        <v>193</v>
      </c>
    </row>
    <row r="1187" spans="1:16" ht="12.75">
      <c r="A1187" s="62" t="str">
        <f aca="true" t="shared" si="19" ref="A1187:A1250">C1187&amp;"_"&amp;E1187</f>
        <v>St. Lucia_Poverty headcount ratio at $2 a day (PPP) (% of population)</v>
      </c>
      <c r="B1187" t="s">
        <v>522</v>
      </c>
      <c r="C1187" t="s">
        <v>255</v>
      </c>
      <c r="D1187" t="s">
        <v>410</v>
      </c>
      <c r="E1187" t="s">
        <v>411</v>
      </c>
      <c r="F1187" t="s">
        <v>193</v>
      </c>
      <c r="G1187" t="s">
        <v>193</v>
      </c>
      <c r="H1187" t="s">
        <v>193</v>
      </c>
      <c r="I1187" t="s">
        <v>193</v>
      </c>
      <c r="J1187" t="s">
        <v>193</v>
      </c>
      <c r="K1187" t="s">
        <v>193</v>
      </c>
      <c r="L1187" t="s">
        <v>193</v>
      </c>
      <c r="M1187" t="s">
        <v>193</v>
      </c>
      <c r="N1187" t="s">
        <v>193</v>
      </c>
      <c r="O1187" t="s">
        <v>193</v>
      </c>
      <c r="P1187" t="s">
        <v>193</v>
      </c>
    </row>
    <row r="1188" spans="1:16" ht="12.75">
      <c r="A1188" s="62" t="str">
        <f t="shared" si="19"/>
        <v>St. Lucia_Poverty headcount ratio at $1 a day (PPP) (% of population)</v>
      </c>
      <c r="B1188" t="s">
        <v>522</v>
      </c>
      <c r="C1188" t="s">
        <v>255</v>
      </c>
      <c r="D1188" t="s">
        <v>412</v>
      </c>
      <c r="E1188" t="s">
        <v>413</v>
      </c>
      <c r="F1188" t="s">
        <v>193</v>
      </c>
      <c r="G1188" t="s">
        <v>193</v>
      </c>
      <c r="H1188" t="s">
        <v>193</v>
      </c>
      <c r="I1188" t="s">
        <v>193</v>
      </c>
      <c r="J1188" t="s">
        <v>193</v>
      </c>
      <c r="K1188" t="s">
        <v>193</v>
      </c>
      <c r="L1188" t="s">
        <v>193</v>
      </c>
      <c r="M1188" t="s">
        <v>193</v>
      </c>
      <c r="N1188" t="s">
        <v>193</v>
      </c>
      <c r="O1188" t="s">
        <v>193</v>
      </c>
      <c r="P1188" t="s">
        <v>193</v>
      </c>
    </row>
    <row r="1189" spans="1:16" ht="12.75">
      <c r="A1189" s="62" t="str">
        <f t="shared" si="19"/>
        <v>St. Lucia_Poverty gap at $1 a day (PPP) (%)</v>
      </c>
      <c r="B1189" t="s">
        <v>522</v>
      </c>
      <c r="C1189" t="s">
        <v>255</v>
      </c>
      <c r="D1189" t="s">
        <v>414</v>
      </c>
      <c r="E1189" t="s">
        <v>415</v>
      </c>
      <c r="F1189" t="s">
        <v>193</v>
      </c>
      <c r="G1189" t="s">
        <v>193</v>
      </c>
      <c r="H1189" t="s">
        <v>193</v>
      </c>
      <c r="I1189" t="s">
        <v>193</v>
      </c>
      <c r="J1189" t="s">
        <v>193</v>
      </c>
      <c r="K1189" t="s">
        <v>193</v>
      </c>
      <c r="L1189" t="s">
        <v>193</v>
      </c>
      <c r="M1189" t="s">
        <v>193</v>
      </c>
      <c r="N1189" t="s">
        <v>193</v>
      </c>
      <c r="O1189" t="s">
        <v>193</v>
      </c>
      <c r="P1189" t="s">
        <v>193</v>
      </c>
    </row>
    <row r="1190" spans="1:16" ht="12.75">
      <c r="A1190" s="62" t="str">
        <f t="shared" si="19"/>
        <v>St. Lucia_Poverty gap at $2 a day (PPP) (%)</v>
      </c>
      <c r="B1190" t="s">
        <v>522</v>
      </c>
      <c r="C1190" t="s">
        <v>255</v>
      </c>
      <c r="D1190" t="s">
        <v>416</v>
      </c>
      <c r="E1190" t="s">
        <v>417</v>
      </c>
      <c r="F1190" t="s">
        <v>193</v>
      </c>
      <c r="G1190" t="s">
        <v>193</v>
      </c>
      <c r="H1190" t="s">
        <v>193</v>
      </c>
      <c r="I1190" t="s">
        <v>193</v>
      </c>
      <c r="J1190" t="s">
        <v>193</v>
      </c>
      <c r="K1190" t="s">
        <v>193</v>
      </c>
      <c r="L1190" t="s">
        <v>193</v>
      </c>
      <c r="M1190" t="s">
        <v>193</v>
      </c>
      <c r="N1190" t="s">
        <v>193</v>
      </c>
      <c r="O1190" t="s">
        <v>193</v>
      </c>
      <c r="P1190" t="s">
        <v>193</v>
      </c>
    </row>
    <row r="1191" spans="1:16" ht="12.75">
      <c r="A1191" s="62" t="str">
        <f t="shared" si="19"/>
        <v>St. Lucia_Population, total</v>
      </c>
      <c r="B1191" t="s">
        <v>522</v>
      </c>
      <c r="C1191" t="s">
        <v>255</v>
      </c>
      <c r="D1191" t="s">
        <v>418</v>
      </c>
      <c r="E1191" t="s">
        <v>419</v>
      </c>
      <c r="F1191">
        <v>147062</v>
      </c>
      <c r="G1191">
        <v>149666</v>
      </c>
      <c r="H1191">
        <v>151952</v>
      </c>
      <c r="I1191">
        <v>153703</v>
      </c>
      <c r="J1191">
        <v>155996</v>
      </c>
      <c r="K1191">
        <v>158018</v>
      </c>
      <c r="L1191">
        <v>159133</v>
      </c>
      <c r="M1191">
        <v>160620</v>
      </c>
      <c r="N1191">
        <v>162434</v>
      </c>
      <c r="O1191">
        <v>164791</v>
      </c>
      <c r="P1191">
        <v>166014.496817175</v>
      </c>
    </row>
    <row r="1192" spans="1:16" ht="12.75">
      <c r="A1192" s="62" t="str">
        <f t="shared" si="19"/>
        <v>St. Lucia_Public spending on education, total (% of GDP)</v>
      </c>
      <c r="B1192" t="s">
        <v>522</v>
      </c>
      <c r="C1192" t="s">
        <v>255</v>
      </c>
      <c r="D1192" t="s">
        <v>420</v>
      </c>
      <c r="E1192" t="s">
        <v>421</v>
      </c>
      <c r="F1192" t="s">
        <v>193</v>
      </c>
      <c r="G1192" t="s">
        <v>193</v>
      </c>
      <c r="H1192" t="s">
        <v>193</v>
      </c>
      <c r="I1192">
        <v>7.50935285651019</v>
      </c>
      <c r="J1192">
        <v>7.54090239829994</v>
      </c>
      <c r="K1192">
        <v>7.78947984000073</v>
      </c>
      <c r="L1192">
        <v>7.83251241007285</v>
      </c>
      <c r="M1192">
        <v>5.03095965943397</v>
      </c>
      <c r="N1192">
        <v>4.80297194633107</v>
      </c>
      <c r="O1192">
        <v>5.83332881508079</v>
      </c>
      <c r="P1192" t="s">
        <v>193</v>
      </c>
    </row>
    <row r="1193" spans="1:16" ht="12.75">
      <c r="A1193" s="62" t="str">
        <f t="shared" si="19"/>
        <v>St. Lucia_Public spending on education, total (% of government expenditure)</v>
      </c>
      <c r="B1193" t="s">
        <v>522</v>
      </c>
      <c r="C1193" t="s">
        <v>255</v>
      </c>
      <c r="D1193" t="s">
        <v>422</v>
      </c>
      <c r="E1193" t="s">
        <v>423</v>
      </c>
      <c r="F1193" t="s">
        <v>193</v>
      </c>
      <c r="G1193" t="s">
        <v>193</v>
      </c>
      <c r="H1193" t="s">
        <v>193</v>
      </c>
      <c r="I1193">
        <v>21.2742369757843</v>
      </c>
      <c r="J1193" t="s">
        <v>193</v>
      </c>
      <c r="K1193" t="s">
        <v>193</v>
      </c>
      <c r="L1193" t="s">
        <v>193</v>
      </c>
      <c r="M1193" t="s">
        <v>193</v>
      </c>
      <c r="N1193">
        <v>15.5923689804068</v>
      </c>
      <c r="O1193">
        <v>16.9103043751624</v>
      </c>
      <c r="P1193" t="s">
        <v>193</v>
      </c>
    </row>
    <row r="1194" spans="1:16" ht="12.75">
      <c r="A1194" s="62" t="str">
        <f t="shared" si="19"/>
        <v>St. Lucia_Health expenditure, public (% of total health expenditure)</v>
      </c>
      <c r="B1194" t="s">
        <v>522</v>
      </c>
      <c r="C1194" t="s">
        <v>255</v>
      </c>
      <c r="D1194" t="s">
        <v>424</v>
      </c>
      <c r="E1194" t="s">
        <v>425</v>
      </c>
      <c r="F1194" t="s">
        <v>193</v>
      </c>
      <c r="G1194" t="s">
        <v>193</v>
      </c>
      <c r="H1194" t="s">
        <v>193</v>
      </c>
      <c r="I1194" t="s">
        <v>193</v>
      </c>
      <c r="J1194">
        <v>70.9</v>
      </c>
      <c r="K1194">
        <v>70.5</v>
      </c>
      <c r="L1194">
        <v>69.1</v>
      </c>
      <c r="M1194">
        <v>66</v>
      </c>
      <c r="N1194">
        <v>65</v>
      </c>
      <c r="O1194" t="s">
        <v>193</v>
      </c>
      <c r="P1194" t="s">
        <v>193</v>
      </c>
    </row>
    <row r="1195" spans="1:16" ht="12.75">
      <c r="A1195" s="62" t="str">
        <f t="shared" si="19"/>
        <v>St. Lucia_Health expenditure, public (% of GDP)</v>
      </c>
      <c r="B1195" t="s">
        <v>522</v>
      </c>
      <c r="C1195" t="s">
        <v>255</v>
      </c>
      <c r="D1195" t="s">
        <v>426</v>
      </c>
      <c r="E1195" t="s">
        <v>427</v>
      </c>
      <c r="F1195" t="s">
        <v>193</v>
      </c>
      <c r="G1195" t="s">
        <v>193</v>
      </c>
      <c r="H1195" t="s">
        <v>193</v>
      </c>
      <c r="I1195" t="s">
        <v>193</v>
      </c>
      <c r="J1195">
        <v>3.3323</v>
      </c>
      <c r="K1195">
        <v>3.525</v>
      </c>
      <c r="L1195">
        <v>3.455</v>
      </c>
      <c r="M1195">
        <v>3.432</v>
      </c>
      <c r="N1195">
        <v>3.25</v>
      </c>
      <c r="O1195" t="s">
        <v>193</v>
      </c>
      <c r="P1195" t="s">
        <v>193</v>
      </c>
    </row>
    <row r="1196" spans="1:16" ht="12.75">
      <c r="A1196" s="62" t="str">
        <f t="shared" si="19"/>
        <v>St. Lucia_Health expenditure, total (% of GDP)</v>
      </c>
      <c r="B1196" t="s">
        <v>522</v>
      </c>
      <c r="C1196" t="s">
        <v>255</v>
      </c>
      <c r="D1196" t="s">
        <v>428</v>
      </c>
      <c r="E1196" t="s">
        <v>429</v>
      </c>
      <c r="F1196" t="s">
        <v>193</v>
      </c>
      <c r="G1196" t="s">
        <v>193</v>
      </c>
      <c r="H1196" t="s">
        <v>193</v>
      </c>
      <c r="I1196" t="s">
        <v>193</v>
      </c>
      <c r="J1196">
        <v>4.7</v>
      </c>
      <c r="K1196">
        <v>5</v>
      </c>
      <c r="L1196">
        <v>5</v>
      </c>
      <c r="M1196">
        <v>5.2</v>
      </c>
      <c r="N1196">
        <v>5</v>
      </c>
      <c r="O1196" t="s">
        <v>193</v>
      </c>
      <c r="P1196" t="s">
        <v>193</v>
      </c>
    </row>
    <row r="1197" spans="1:16" ht="12.75">
      <c r="A1197" s="62" t="str">
        <f t="shared" si="19"/>
        <v>St. Lucia_GDP (current LCU)</v>
      </c>
      <c r="B1197" t="s">
        <v>522</v>
      </c>
      <c r="C1197" t="s">
        <v>255</v>
      </c>
      <c r="D1197" t="s">
        <v>430</v>
      </c>
      <c r="E1197" t="s">
        <v>431</v>
      </c>
      <c r="F1197">
        <v>1529200000</v>
      </c>
      <c r="G1197">
        <v>1565400064</v>
      </c>
      <c r="H1197">
        <v>1725799936</v>
      </c>
      <c r="I1197">
        <v>1806400000</v>
      </c>
      <c r="J1197">
        <v>1850509952</v>
      </c>
      <c r="K1197">
        <v>1793869952</v>
      </c>
      <c r="L1197">
        <v>1841769984</v>
      </c>
      <c r="M1197">
        <v>1932290048</v>
      </c>
      <c r="N1197">
        <v>2064649984</v>
      </c>
      <c r="O1197">
        <v>2228000000</v>
      </c>
      <c r="P1197">
        <v>2446200064</v>
      </c>
    </row>
    <row r="1198" spans="1:16" ht="12.75">
      <c r="A1198" s="62" t="str">
        <f t="shared" si="19"/>
        <v>St. Lucia_GDP (current US$)</v>
      </c>
      <c r="B1198" t="s">
        <v>522</v>
      </c>
      <c r="C1198" t="s">
        <v>255</v>
      </c>
      <c r="D1198" t="s">
        <v>432</v>
      </c>
      <c r="E1198" t="s">
        <v>433</v>
      </c>
      <c r="F1198">
        <v>566370368</v>
      </c>
      <c r="G1198">
        <v>579777792</v>
      </c>
      <c r="H1198">
        <v>639185152</v>
      </c>
      <c r="I1198">
        <v>669037056</v>
      </c>
      <c r="J1198">
        <v>685374080</v>
      </c>
      <c r="K1198">
        <v>664396288</v>
      </c>
      <c r="L1198">
        <v>682137024</v>
      </c>
      <c r="M1198">
        <v>715662976</v>
      </c>
      <c r="N1198">
        <v>764685184</v>
      </c>
      <c r="O1198">
        <v>825185152</v>
      </c>
      <c r="P1198">
        <v>906000000</v>
      </c>
    </row>
    <row r="1199" spans="1:16" ht="12.75">
      <c r="A1199" s="62" t="str">
        <f t="shared" si="19"/>
        <v>St. Lucia_GDP per capita, PPP (current international $)</v>
      </c>
      <c r="B1199" t="s">
        <v>522</v>
      </c>
      <c r="C1199" t="s">
        <v>255</v>
      </c>
      <c r="D1199" t="s">
        <v>434</v>
      </c>
      <c r="E1199" t="s">
        <v>435</v>
      </c>
      <c r="F1199">
        <v>5162.99990906661</v>
      </c>
      <c r="G1199">
        <v>5188.85774790537</v>
      </c>
      <c r="H1199">
        <v>5407.89227921033</v>
      </c>
      <c r="I1199">
        <v>5580.12783718949</v>
      </c>
      <c r="J1199">
        <v>5897.00449648663</v>
      </c>
      <c r="K1199">
        <v>5634.79730539946</v>
      </c>
      <c r="L1199">
        <v>5830.09672110885</v>
      </c>
      <c r="M1199">
        <v>6068.02817642838</v>
      </c>
      <c r="N1199">
        <v>6513.21048263891</v>
      </c>
      <c r="O1199">
        <v>6997.30513436962</v>
      </c>
      <c r="P1199">
        <v>7499.42346673927</v>
      </c>
    </row>
    <row r="1200" spans="1:16" ht="12.75">
      <c r="A1200" s="62" t="str">
        <f t="shared" si="19"/>
        <v>St. Lucia_GDP per capita, PPP (constant 2000 international $)</v>
      </c>
      <c r="B1200" t="s">
        <v>522</v>
      </c>
      <c r="C1200" t="s">
        <v>255</v>
      </c>
      <c r="D1200" t="s">
        <v>436</v>
      </c>
      <c r="E1200" t="s">
        <v>437</v>
      </c>
      <c r="F1200">
        <v>5501.62155395572</v>
      </c>
      <c r="G1200">
        <v>5438.33590128005</v>
      </c>
      <c r="H1200">
        <v>5605.6209228569</v>
      </c>
      <c r="I1200">
        <v>5701.76655127711</v>
      </c>
      <c r="J1200">
        <v>5897.00449648663</v>
      </c>
      <c r="K1200">
        <v>5502.25846792092</v>
      </c>
      <c r="L1200">
        <v>5595.0478302022</v>
      </c>
      <c r="M1200">
        <v>5707.23121979755</v>
      </c>
      <c r="N1200">
        <v>5969.3093252665</v>
      </c>
      <c r="O1200">
        <v>6225.19841319837</v>
      </c>
      <c r="P1200">
        <v>6482.1061313975</v>
      </c>
    </row>
    <row r="1201" spans="1:16" ht="12.75">
      <c r="A1201" s="62" t="str">
        <f t="shared" si="19"/>
        <v>St. Lucia_GINI index</v>
      </c>
      <c r="B1201" t="s">
        <v>522</v>
      </c>
      <c r="C1201" t="s">
        <v>255</v>
      </c>
      <c r="D1201" t="s">
        <v>438</v>
      </c>
      <c r="E1201" t="s">
        <v>439</v>
      </c>
      <c r="F1201" t="s">
        <v>193</v>
      </c>
      <c r="G1201" t="s">
        <v>193</v>
      </c>
      <c r="H1201" t="s">
        <v>193</v>
      </c>
      <c r="I1201" t="s">
        <v>193</v>
      </c>
      <c r="J1201" t="s">
        <v>193</v>
      </c>
      <c r="K1201" t="s">
        <v>193</v>
      </c>
      <c r="L1201" t="s">
        <v>193</v>
      </c>
      <c r="M1201" t="s">
        <v>193</v>
      </c>
      <c r="N1201" t="s">
        <v>193</v>
      </c>
      <c r="O1201" t="s">
        <v>193</v>
      </c>
      <c r="P1201" t="s">
        <v>193</v>
      </c>
    </row>
    <row r="1202" spans="1:16" ht="12.75">
      <c r="A1202" s="62" t="str">
        <f t="shared" si="19"/>
        <v>St. Vincent and the Grenadines_Poverty headcount ratio at national poverty line (% of population)</v>
      </c>
      <c r="B1202" t="s">
        <v>523</v>
      </c>
      <c r="C1202" t="s">
        <v>524</v>
      </c>
      <c r="D1202" t="s">
        <v>408</v>
      </c>
      <c r="E1202" t="s">
        <v>409</v>
      </c>
      <c r="F1202" t="s">
        <v>193</v>
      </c>
      <c r="G1202" t="s">
        <v>193</v>
      </c>
      <c r="H1202" t="s">
        <v>193</v>
      </c>
      <c r="I1202" t="s">
        <v>193</v>
      </c>
      <c r="J1202" t="s">
        <v>193</v>
      </c>
      <c r="K1202" t="s">
        <v>193</v>
      </c>
      <c r="L1202" t="s">
        <v>193</v>
      </c>
      <c r="M1202" t="s">
        <v>193</v>
      </c>
      <c r="N1202" t="s">
        <v>193</v>
      </c>
      <c r="O1202" t="s">
        <v>193</v>
      </c>
      <c r="P1202" t="s">
        <v>193</v>
      </c>
    </row>
    <row r="1203" spans="1:16" ht="12.75">
      <c r="A1203" s="62" t="str">
        <f t="shared" si="19"/>
        <v>St. Vincent and the Grenadines_Poverty headcount ratio at $2 a day (PPP) (% of population)</v>
      </c>
      <c r="B1203" t="s">
        <v>523</v>
      </c>
      <c r="C1203" t="s">
        <v>524</v>
      </c>
      <c r="D1203" t="s">
        <v>410</v>
      </c>
      <c r="E1203" t="s">
        <v>411</v>
      </c>
      <c r="F1203" t="s">
        <v>193</v>
      </c>
      <c r="G1203" t="s">
        <v>193</v>
      </c>
      <c r="H1203" t="s">
        <v>193</v>
      </c>
      <c r="I1203" t="s">
        <v>193</v>
      </c>
      <c r="J1203" t="s">
        <v>193</v>
      </c>
      <c r="K1203" t="s">
        <v>193</v>
      </c>
      <c r="L1203" t="s">
        <v>193</v>
      </c>
      <c r="M1203" t="s">
        <v>193</v>
      </c>
      <c r="N1203" t="s">
        <v>193</v>
      </c>
      <c r="O1203" t="s">
        <v>193</v>
      </c>
      <c r="P1203" t="s">
        <v>193</v>
      </c>
    </row>
    <row r="1204" spans="1:16" ht="12.75">
      <c r="A1204" s="62" t="str">
        <f t="shared" si="19"/>
        <v>St. Vincent and the Grenadines_Poverty headcount ratio at $1 a day (PPP) (% of population)</v>
      </c>
      <c r="B1204" t="s">
        <v>523</v>
      </c>
      <c r="C1204" t="s">
        <v>524</v>
      </c>
      <c r="D1204" t="s">
        <v>412</v>
      </c>
      <c r="E1204" t="s">
        <v>413</v>
      </c>
      <c r="F1204" t="s">
        <v>193</v>
      </c>
      <c r="G1204" t="s">
        <v>193</v>
      </c>
      <c r="H1204" t="s">
        <v>193</v>
      </c>
      <c r="I1204" t="s">
        <v>193</v>
      </c>
      <c r="J1204" t="s">
        <v>193</v>
      </c>
      <c r="K1204" t="s">
        <v>193</v>
      </c>
      <c r="L1204" t="s">
        <v>193</v>
      </c>
      <c r="M1204" t="s">
        <v>193</v>
      </c>
      <c r="N1204" t="s">
        <v>193</v>
      </c>
      <c r="O1204" t="s">
        <v>193</v>
      </c>
      <c r="P1204" t="s">
        <v>193</v>
      </c>
    </row>
    <row r="1205" spans="1:16" ht="12.75">
      <c r="A1205" s="62" t="str">
        <f t="shared" si="19"/>
        <v>St. Vincent and the Grenadines_Poverty gap at $1 a day (PPP) (%)</v>
      </c>
      <c r="B1205" t="s">
        <v>523</v>
      </c>
      <c r="C1205" t="s">
        <v>524</v>
      </c>
      <c r="D1205" t="s">
        <v>414</v>
      </c>
      <c r="E1205" t="s">
        <v>415</v>
      </c>
      <c r="F1205" t="s">
        <v>193</v>
      </c>
      <c r="G1205" t="s">
        <v>193</v>
      </c>
      <c r="H1205" t="s">
        <v>193</v>
      </c>
      <c r="I1205" t="s">
        <v>193</v>
      </c>
      <c r="J1205" t="s">
        <v>193</v>
      </c>
      <c r="K1205" t="s">
        <v>193</v>
      </c>
      <c r="L1205" t="s">
        <v>193</v>
      </c>
      <c r="M1205" t="s">
        <v>193</v>
      </c>
      <c r="N1205" t="s">
        <v>193</v>
      </c>
      <c r="O1205" t="s">
        <v>193</v>
      </c>
      <c r="P1205" t="s">
        <v>193</v>
      </c>
    </row>
    <row r="1206" spans="1:16" ht="12.75">
      <c r="A1206" s="62" t="str">
        <f t="shared" si="19"/>
        <v>St. Vincent and the Grenadines_Poverty gap at $2 a day (PPP) (%)</v>
      </c>
      <c r="B1206" t="s">
        <v>523</v>
      </c>
      <c r="C1206" t="s">
        <v>524</v>
      </c>
      <c r="D1206" t="s">
        <v>416</v>
      </c>
      <c r="E1206" t="s">
        <v>417</v>
      </c>
      <c r="F1206" t="s">
        <v>193</v>
      </c>
      <c r="G1206" t="s">
        <v>193</v>
      </c>
      <c r="H1206" t="s">
        <v>193</v>
      </c>
      <c r="I1206" t="s">
        <v>193</v>
      </c>
      <c r="J1206" t="s">
        <v>193</v>
      </c>
      <c r="K1206" t="s">
        <v>193</v>
      </c>
      <c r="L1206" t="s">
        <v>193</v>
      </c>
      <c r="M1206" t="s">
        <v>193</v>
      </c>
      <c r="N1206" t="s">
        <v>193</v>
      </c>
      <c r="O1206" t="s">
        <v>193</v>
      </c>
      <c r="P1206" t="s">
        <v>193</v>
      </c>
    </row>
    <row r="1207" spans="1:16" ht="12.75">
      <c r="A1207" s="62" t="str">
        <f t="shared" si="19"/>
        <v>St. Vincent and the Grenadines_Population, total</v>
      </c>
      <c r="B1207" t="s">
        <v>523</v>
      </c>
      <c r="C1207" t="s">
        <v>524</v>
      </c>
      <c r="D1207" t="s">
        <v>418</v>
      </c>
      <c r="E1207" t="s">
        <v>419</v>
      </c>
      <c r="F1207">
        <v>113596</v>
      </c>
      <c r="G1207">
        <v>114191</v>
      </c>
      <c r="H1207">
        <v>114774</v>
      </c>
      <c r="I1207">
        <v>115357</v>
      </c>
      <c r="J1207">
        <v>115949</v>
      </c>
      <c r="K1207">
        <v>116555</v>
      </c>
      <c r="L1207">
        <v>117174</v>
      </c>
      <c r="M1207">
        <v>117800</v>
      </c>
      <c r="N1207">
        <v>118428</v>
      </c>
      <c r="O1207">
        <v>119051</v>
      </c>
      <c r="P1207">
        <v>119635.041427776</v>
      </c>
    </row>
    <row r="1208" spans="1:16" ht="12.75">
      <c r="A1208" s="62" t="str">
        <f t="shared" si="19"/>
        <v>St. Vincent and the Grenadines_Public spending on education, total (% of GDP)</v>
      </c>
      <c r="B1208" t="s">
        <v>523</v>
      </c>
      <c r="C1208" t="s">
        <v>524</v>
      </c>
      <c r="D1208" t="s">
        <v>420</v>
      </c>
      <c r="E1208" t="s">
        <v>421</v>
      </c>
      <c r="F1208" t="s">
        <v>193</v>
      </c>
      <c r="G1208" t="s">
        <v>193</v>
      </c>
      <c r="H1208" t="s">
        <v>193</v>
      </c>
      <c r="I1208">
        <v>6.80352275784753</v>
      </c>
      <c r="J1208">
        <v>9.35583314917127</v>
      </c>
      <c r="K1208">
        <v>9.50257491961415</v>
      </c>
      <c r="L1208">
        <v>9.85789837892604</v>
      </c>
      <c r="M1208">
        <v>10.962691297561</v>
      </c>
      <c r="N1208">
        <v>11.039525841861</v>
      </c>
      <c r="O1208">
        <v>8.16907508650519</v>
      </c>
      <c r="P1208" t="s">
        <v>193</v>
      </c>
    </row>
    <row r="1209" spans="1:16" ht="12.75">
      <c r="A1209" s="62" t="str">
        <f t="shared" si="19"/>
        <v>St. Vincent and the Grenadines_Public spending on education, total (% of government expenditure)</v>
      </c>
      <c r="B1209" t="s">
        <v>523</v>
      </c>
      <c r="C1209" t="s">
        <v>524</v>
      </c>
      <c r="D1209" t="s">
        <v>422</v>
      </c>
      <c r="E1209" t="s">
        <v>423</v>
      </c>
      <c r="F1209" t="s">
        <v>193</v>
      </c>
      <c r="G1209" t="s">
        <v>193</v>
      </c>
      <c r="H1209" t="s">
        <v>193</v>
      </c>
      <c r="I1209" t="s">
        <v>193</v>
      </c>
      <c r="J1209">
        <v>13.4383949280513</v>
      </c>
      <c r="K1209">
        <v>17.0393419597377</v>
      </c>
      <c r="L1209">
        <v>20.2568188305814</v>
      </c>
      <c r="M1209" t="s">
        <v>193</v>
      </c>
      <c r="N1209">
        <v>20.5147672286165</v>
      </c>
      <c r="O1209">
        <v>16.0850390321385</v>
      </c>
      <c r="P1209" t="s">
        <v>193</v>
      </c>
    </row>
    <row r="1210" spans="1:16" ht="12.75">
      <c r="A1210" s="62" t="str">
        <f t="shared" si="19"/>
        <v>St. Vincent and the Grenadines_Health expenditure, public (% of total health expenditure)</v>
      </c>
      <c r="B1210" t="s">
        <v>523</v>
      </c>
      <c r="C1210" t="s">
        <v>524</v>
      </c>
      <c r="D1210" t="s">
        <v>424</v>
      </c>
      <c r="E1210" t="s">
        <v>425</v>
      </c>
      <c r="F1210" t="s">
        <v>193</v>
      </c>
      <c r="G1210" t="s">
        <v>193</v>
      </c>
      <c r="H1210" t="s">
        <v>193</v>
      </c>
      <c r="I1210" t="s">
        <v>193</v>
      </c>
      <c r="J1210">
        <v>63.9</v>
      </c>
      <c r="K1210">
        <v>64.3</v>
      </c>
      <c r="L1210">
        <v>66.8</v>
      </c>
      <c r="M1210">
        <v>66.1</v>
      </c>
      <c r="N1210">
        <v>63.2</v>
      </c>
      <c r="O1210" t="s">
        <v>193</v>
      </c>
      <c r="P1210" t="s">
        <v>193</v>
      </c>
    </row>
    <row r="1211" spans="1:16" ht="12.75">
      <c r="A1211" s="62" t="str">
        <f t="shared" si="19"/>
        <v>St. Vincent and the Grenadines_Health expenditure, public (% of GDP)</v>
      </c>
      <c r="B1211" t="s">
        <v>523</v>
      </c>
      <c r="C1211" t="s">
        <v>524</v>
      </c>
      <c r="D1211" t="s">
        <v>426</v>
      </c>
      <c r="E1211" t="s">
        <v>427</v>
      </c>
      <c r="F1211" t="s">
        <v>193</v>
      </c>
      <c r="G1211" t="s">
        <v>193</v>
      </c>
      <c r="H1211" t="s">
        <v>193</v>
      </c>
      <c r="I1211" t="s">
        <v>193</v>
      </c>
      <c r="J1211">
        <v>3.6423</v>
      </c>
      <c r="K1211">
        <v>3.6651</v>
      </c>
      <c r="L1211">
        <v>4.0748</v>
      </c>
      <c r="M1211">
        <v>4.0982</v>
      </c>
      <c r="N1211">
        <v>3.8552</v>
      </c>
      <c r="O1211" t="s">
        <v>193</v>
      </c>
      <c r="P1211" t="s">
        <v>193</v>
      </c>
    </row>
    <row r="1212" spans="1:16" ht="12.75">
      <c r="A1212" s="62" t="str">
        <f t="shared" si="19"/>
        <v>St. Vincent and the Grenadines_Health expenditure, total (% of GDP)</v>
      </c>
      <c r="B1212" t="s">
        <v>523</v>
      </c>
      <c r="C1212" t="s">
        <v>524</v>
      </c>
      <c r="D1212" t="s">
        <v>428</v>
      </c>
      <c r="E1212" t="s">
        <v>429</v>
      </c>
      <c r="F1212" t="s">
        <v>193</v>
      </c>
      <c r="G1212" t="s">
        <v>193</v>
      </c>
      <c r="H1212" t="s">
        <v>193</v>
      </c>
      <c r="I1212" t="s">
        <v>193</v>
      </c>
      <c r="J1212">
        <v>5.7</v>
      </c>
      <c r="K1212">
        <v>5.7</v>
      </c>
      <c r="L1212">
        <v>6.1</v>
      </c>
      <c r="M1212">
        <v>6.2</v>
      </c>
      <c r="N1212">
        <v>6.1</v>
      </c>
      <c r="O1212" t="s">
        <v>193</v>
      </c>
      <c r="P1212" t="s">
        <v>193</v>
      </c>
    </row>
    <row r="1213" spans="1:16" ht="12.75">
      <c r="A1213" s="62" t="str">
        <f t="shared" si="19"/>
        <v>St. Vincent and the Grenadines_GDP (current LCU)</v>
      </c>
      <c r="B1213" t="s">
        <v>523</v>
      </c>
      <c r="C1213" t="s">
        <v>524</v>
      </c>
      <c r="D1213" t="s">
        <v>430</v>
      </c>
      <c r="E1213" t="s">
        <v>431</v>
      </c>
      <c r="F1213">
        <v>760099968</v>
      </c>
      <c r="G1213">
        <v>798000000</v>
      </c>
      <c r="H1213">
        <v>859400000</v>
      </c>
      <c r="I1213">
        <v>892000000</v>
      </c>
      <c r="J1213">
        <v>905000000</v>
      </c>
      <c r="K1213">
        <v>933000000</v>
      </c>
      <c r="L1213">
        <v>987000000</v>
      </c>
      <c r="M1213">
        <v>1032000000</v>
      </c>
      <c r="N1213">
        <v>1102999936</v>
      </c>
      <c r="O1213">
        <v>1160999936</v>
      </c>
      <c r="P1213">
        <v>1258000000</v>
      </c>
    </row>
    <row r="1214" spans="1:16" ht="12.75">
      <c r="A1214" s="62" t="str">
        <f t="shared" si="19"/>
        <v>St. Vincent and the Grenadines_GDP (current US$)</v>
      </c>
      <c r="B1214" t="s">
        <v>523</v>
      </c>
      <c r="C1214" t="s">
        <v>524</v>
      </c>
      <c r="D1214" t="s">
        <v>432</v>
      </c>
      <c r="E1214" t="s">
        <v>433</v>
      </c>
      <c r="F1214">
        <v>281518496</v>
      </c>
      <c r="G1214">
        <v>295555552</v>
      </c>
      <c r="H1214">
        <v>318296288</v>
      </c>
      <c r="I1214">
        <v>330370368</v>
      </c>
      <c r="J1214">
        <v>335185184</v>
      </c>
      <c r="K1214">
        <v>345555552</v>
      </c>
      <c r="L1214">
        <v>365555552</v>
      </c>
      <c r="M1214">
        <v>382222208</v>
      </c>
      <c r="N1214">
        <v>408518496</v>
      </c>
      <c r="O1214">
        <v>430000000</v>
      </c>
      <c r="P1214">
        <v>465925920</v>
      </c>
    </row>
    <row r="1215" spans="1:16" ht="12.75">
      <c r="A1215" s="62" t="str">
        <f t="shared" si="19"/>
        <v>St. Vincent and the Grenadines_GDP per capita, PPP (current international $)</v>
      </c>
      <c r="B1215" t="s">
        <v>523</v>
      </c>
      <c r="C1215" t="s">
        <v>524</v>
      </c>
      <c r="D1215" t="s">
        <v>434</v>
      </c>
      <c r="E1215" t="s">
        <v>435</v>
      </c>
      <c r="F1215">
        <v>4398.99992252257</v>
      </c>
      <c r="G1215">
        <v>4590.0732783453</v>
      </c>
      <c r="H1215">
        <v>4859.70303644386</v>
      </c>
      <c r="I1215">
        <v>5050.42838722778</v>
      </c>
      <c r="J1215">
        <v>5236.85579426843</v>
      </c>
      <c r="K1215">
        <v>5329.78309552587</v>
      </c>
      <c r="L1215">
        <v>5469.93031014945</v>
      </c>
      <c r="M1215">
        <v>5634.27939656744</v>
      </c>
      <c r="N1215">
        <v>6274.34381347897</v>
      </c>
      <c r="O1215">
        <v>6571.2371411752</v>
      </c>
      <c r="P1215">
        <v>7006.58912815831</v>
      </c>
    </row>
    <row r="1216" spans="1:16" ht="12.75">
      <c r="A1216" s="62" t="str">
        <f t="shared" si="19"/>
        <v>St. Vincent and the Grenadines_GDP per capita, PPP (constant 2000 international $)</v>
      </c>
      <c r="B1216" t="s">
        <v>523</v>
      </c>
      <c r="C1216" t="s">
        <v>524</v>
      </c>
      <c r="D1216" t="s">
        <v>436</v>
      </c>
      <c r="E1216" t="s">
        <v>437</v>
      </c>
      <c r="F1216">
        <v>4687.51369665915</v>
      </c>
      <c r="G1216">
        <v>4810.76211989204</v>
      </c>
      <c r="H1216">
        <v>5037.38824914959</v>
      </c>
      <c r="I1216">
        <v>5160.52041962168</v>
      </c>
      <c r="J1216">
        <v>5236.85579426843</v>
      </c>
      <c r="K1216">
        <v>5204.41864722231</v>
      </c>
      <c r="L1216">
        <v>5249.40205577552</v>
      </c>
      <c r="M1216">
        <v>5299.27257062915</v>
      </c>
      <c r="N1216">
        <v>5750.38978635209</v>
      </c>
      <c r="O1216">
        <v>5846.14422816353</v>
      </c>
      <c r="P1216">
        <v>6056.12612079438</v>
      </c>
    </row>
    <row r="1217" spans="1:16" ht="12.75">
      <c r="A1217" s="62" t="str">
        <f t="shared" si="19"/>
        <v>St. Vincent and the Grenadines_GINI index</v>
      </c>
      <c r="B1217" t="s">
        <v>523</v>
      </c>
      <c r="C1217" t="s">
        <v>524</v>
      </c>
      <c r="D1217" t="s">
        <v>438</v>
      </c>
      <c r="E1217" t="s">
        <v>439</v>
      </c>
      <c r="F1217" t="s">
        <v>193</v>
      </c>
      <c r="G1217" t="s">
        <v>193</v>
      </c>
      <c r="H1217" t="s">
        <v>193</v>
      </c>
      <c r="I1217" t="s">
        <v>193</v>
      </c>
      <c r="J1217" t="s">
        <v>193</v>
      </c>
      <c r="K1217" t="s">
        <v>193</v>
      </c>
      <c r="L1217" t="s">
        <v>193</v>
      </c>
      <c r="M1217" t="s">
        <v>193</v>
      </c>
      <c r="N1217" t="s">
        <v>193</v>
      </c>
      <c r="O1217" t="s">
        <v>193</v>
      </c>
      <c r="P1217" t="s">
        <v>193</v>
      </c>
    </row>
    <row r="1218" spans="1:16" ht="12.75">
      <c r="A1218" s="62" t="str">
        <f t="shared" si="19"/>
        <v>Syrian Arab Republic_Poverty headcount ratio at national poverty line (% of population)</v>
      </c>
      <c r="B1218" t="s">
        <v>525</v>
      </c>
      <c r="C1218" t="s">
        <v>526</v>
      </c>
      <c r="D1218" t="s">
        <v>408</v>
      </c>
      <c r="E1218" t="s">
        <v>409</v>
      </c>
      <c r="F1218" t="s">
        <v>193</v>
      </c>
      <c r="G1218" t="s">
        <v>193</v>
      </c>
      <c r="H1218" t="s">
        <v>193</v>
      </c>
      <c r="I1218" t="s">
        <v>193</v>
      </c>
      <c r="J1218" t="s">
        <v>193</v>
      </c>
      <c r="K1218" t="s">
        <v>193</v>
      </c>
      <c r="L1218" t="s">
        <v>193</v>
      </c>
      <c r="M1218" t="s">
        <v>193</v>
      </c>
      <c r="N1218" t="s">
        <v>193</v>
      </c>
      <c r="O1218" t="s">
        <v>193</v>
      </c>
      <c r="P1218" t="s">
        <v>193</v>
      </c>
    </row>
    <row r="1219" spans="1:16" ht="12.75">
      <c r="A1219" s="62" t="str">
        <f t="shared" si="19"/>
        <v>Syrian Arab Republic_Poverty headcount ratio at $2 a day (PPP) (% of population)</v>
      </c>
      <c r="B1219" t="s">
        <v>525</v>
      </c>
      <c r="C1219" t="s">
        <v>526</v>
      </c>
      <c r="D1219" t="s">
        <v>410</v>
      </c>
      <c r="E1219" t="s">
        <v>411</v>
      </c>
      <c r="F1219" t="s">
        <v>193</v>
      </c>
      <c r="G1219" t="s">
        <v>193</v>
      </c>
      <c r="H1219" t="s">
        <v>193</v>
      </c>
      <c r="I1219" t="s">
        <v>193</v>
      </c>
      <c r="J1219" t="s">
        <v>193</v>
      </c>
      <c r="K1219" t="s">
        <v>193</v>
      </c>
      <c r="L1219" t="s">
        <v>193</v>
      </c>
      <c r="M1219" t="s">
        <v>193</v>
      </c>
      <c r="N1219" t="s">
        <v>193</v>
      </c>
      <c r="O1219" t="s">
        <v>193</v>
      </c>
      <c r="P1219" t="s">
        <v>193</v>
      </c>
    </row>
    <row r="1220" spans="1:16" ht="12.75">
      <c r="A1220" s="62" t="str">
        <f t="shared" si="19"/>
        <v>Syrian Arab Republic_Poverty headcount ratio at $1 a day (PPP) (% of population)</v>
      </c>
      <c r="B1220" t="s">
        <v>525</v>
      </c>
      <c r="C1220" t="s">
        <v>526</v>
      </c>
      <c r="D1220" t="s">
        <v>412</v>
      </c>
      <c r="E1220" t="s">
        <v>413</v>
      </c>
      <c r="F1220" t="s">
        <v>193</v>
      </c>
      <c r="G1220" t="s">
        <v>193</v>
      </c>
      <c r="H1220" t="s">
        <v>193</v>
      </c>
      <c r="I1220" t="s">
        <v>193</v>
      </c>
      <c r="J1220" t="s">
        <v>193</v>
      </c>
      <c r="K1220" t="s">
        <v>193</v>
      </c>
      <c r="L1220" t="s">
        <v>193</v>
      </c>
      <c r="M1220" t="s">
        <v>193</v>
      </c>
      <c r="N1220" t="s">
        <v>193</v>
      </c>
      <c r="O1220" t="s">
        <v>193</v>
      </c>
      <c r="P1220" t="s">
        <v>193</v>
      </c>
    </row>
    <row r="1221" spans="1:16" ht="12.75">
      <c r="A1221" s="62" t="str">
        <f t="shared" si="19"/>
        <v>Syrian Arab Republic_Poverty gap at $1 a day (PPP) (%)</v>
      </c>
      <c r="B1221" t="s">
        <v>525</v>
      </c>
      <c r="C1221" t="s">
        <v>526</v>
      </c>
      <c r="D1221" t="s">
        <v>414</v>
      </c>
      <c r="E1221" t="s">
        <v>415</v>
      </c>
      <c r="F1221" t="s">
        <v>193</v>
      </c>
      <c r="G1221" t="s">
        <v>193</v>
      </c>
      <c r="H1221" t="s">
        <v>193</v>
      </c>
      <c r="I1221" t="s">
        <v>193</v>
      </c>
      <c r="J1221" t="s">
        <v>193</v>
      </c>
      <c r="K1221" t="s">
        <v>193</v>
      </c>
      <c r="L1221" t="s">
        <v>193</v>
      </c>
      <c r="M1221" t="s">
        <v>193</v>
      </c>
      <c r="N1221" t="s">
        <v>193</v>
      </c>
      <c r="O1221" t="s">
        <v>193</v>
      </c>
      <c r="P1221" t="s">
        <v>193</v>
      </c>
    </row>
    <row r="1222" spans="1:16" ht="12.75">
      <c r="A1222" s="62" t="str">
        <f t="shared" si="19"/>
        <v>Syrian Arab Republic_Poverty gap at $2 a day (PPP) (%)</v>
      </c>
      <c r="B1222" t="s">
        <v>525</v>
      </c>
      <c r="C1222" t="s">
        <v>526</v>
      </c>
      <c r="D1222" t="s">
        <v>416</v>
      </c>
      <c r="E1222" t="s">
        <v>417</v>
      </c>
      <c r="F1222" t="s">
        <v>193</v>
      </c>
      <c r="G1222" t="s">
        <v>193</v>
      </c>
      <c r="H1222" t="s">
        <v>193</v>
      </c>
      <c r="I1222" t="s">
        <v>193</v>
      </c>
      <c r="J1222" t="s">
        <v>193</v>
      </c>
      <c r="K1222" t="s">
        <v>193</v>
      </c>
      <c r="L1222" t="s">
        <v>193</v>
      </c>
      <c r="M1222" t="s">
        <v>193</v>
      </c>
      <c r="N1222" t="s">
        <v>193</v>
      </c>
      <c r="O1222" t="s">
        <v>193</v>
      </c>
      <c r="P1222" t="s">
        <v>193</v>
      </c>
    </row>
    <row r="1223" spans="1:16" ht="12.75">
      <c r="A1223" s="62" t="str">
        <f t="shared" si="19"/>
        <v>Syrian Arab Republic_Population, total</v>
      </c>
      <c r="B1223" t="s">
        <v>525</v>
      </c>
      <c r="C1223" t="s">
        <v>526</v>
      </c>
      <c r="D1223" t="s">
        <v>418</v>
      </c>
      <c r="E1223" t="s">
        <v>419</v>
      </c>
      <c r="F1223">
        <v>15151147</v>
      </c>
      <c r="G1223">
        <v>15555615</v>
      </c>
      <c r="H1223">
        <v>15967908</v>
      </c>
      <c r="I1223">
        <v>16387182</v>
      </c>
      <c r="J1223">
        <v>16812824</v>
      </c>
      <c r="K1223">
        <v>17244689</v>
      </c>
      <c r="L1223">
        <v>17683190</v>
      </c>
      <c r="M1223">
        <v>18128805</v>
      </c>
      <c r="N1223">
        <v>18582152</v>
      </c>
      <c r="O1223">
        <v>19043381.9999999</v>
      </c>
      <c r="P1223">
        <v>19496430.3030486</v>
      </c>
    </row>
    <row r="1224" spans="1:16" ht="12.75">
      <c r="A1224" s="62" t="str">
        <f t="shared" si="19"/>
        <v>Syrian Arab Republic_Public spending on education, total (% of GDP)</v>
      </c>
      <c r="B1224" t="s">
        <v>525</v>
      </c>
      <c r="C1224" t="s">
        <v>526</v>
      </c>
      <c r="D1224" t="s">
        <v>420</v>
      </c>
      <c r="E1224" t="s">
        <v>421</v>
      </c>
      <c r="F1224" t="s">
        <v>193</v>
      </c>
      <c r="G1224" t="s">
        <v>193</v>
      </c>
      <c r="H1224" t="s">
        <v>193</v>
      </c>
      <c r="I1224" t="s">
        <v>193</v>
      </c>
      <c r="J1224" t="s">
        <v>193</v>
      </c>
      <c r="K1224" t="s">
        <v>193</v>
      </c>
      <c r="L1224" t="s">
        <v>193</v>
      </c>
      <c r="M1224" t="s">
        <v>193</v>
      </c>
      <c r="N1224" t="s">
        <v>193</v>
      </c>
      <c r="O1224" t="s">
        <v>193</v>
      </c>
      <c r="P1224" t="s">
        <v>193</v>
      </c>
    </row>
    <row r="1225" spans="1:16" ht="12.75">
      <c r="A1225" s="62" t="str">
        <f t="shared" si="19"/>
        <v>Syrian Arab Republic_Public spending on education, total (% of government expenditure)</v>
      </c>
      <c r="B1225" t="s">
        <v>525</v>
      </c>
      <c r="C1225" t="s">
        <v>526</v>
      </c>
      <c r="D1225" t="s">
        <v>422</v>
      </c>
      <c r="E1225" t="s">
        <v>423</v>
      </c>
      <c r="F1225" t="s">
        <v>193</v>
      </c>
      <c r="G1225" t="s">
        <v>193</v>
      </c>
      <c r="H1225" t="s">
        <v>193</v>
      </c>
      <c r="I1225" t="s">
        <v>193</v>
      </c>
      <c r="J1225" t="s">
        <v>193</v>
      </c>
      <c r="K1225" t="s">
        <v>193</v>
      </c>
      <c r="L1225" t="s">
        <v>193</v>
      </c>
      <c r="M1225" t="s">
        <v>193</v>
      </c>
      <c r="N1225" t="s">
        <v>193</v>
      </c>
      <c r="O1225" t="s">
        <v>193</v>
      </c>
      <c r="P1225" t="s">
        <v>193</v>
      </c>
    </row>
    <row r="1226" spans="1:16" ht="12.75">
      <c r="A1226" s="62" t="str">
        <f t="shared" si="19"/>
        <v>Syrian Arab Republic_Health expenditure, public (% of total health expenditure)</v>
      </c>
      <c r="B1226" t="s">
        <v>525</v>
      </c>
      <c r="C1226" t="s">
        <v>526</v>
      </c>
      <c r="D1226" t="s">
        <v>424</v>
      </c>
      <c r="E1226" t="s">
        <v>425</v>
      </c>
      <c r="F1226" t="s">
        <v>193</v>
      </c>
      <c r="G1226" t="s">
        <v>193</v>
      </c>
      <c r="H1226" t="s">
        <v>193</v>
      </c>
      <c r="I1226" t="s">
        <v>193</v>
      </c>
      <c r="J1226">
        <v>40.4</v>
      </c>
      <c r="K1226">
        <v>44.2</v>
      </c>
      <c r="L1226">
        <v>45.8</v>
      </c>
      <c r="M1226">
        <v>48.2</v>
      </c>
      <c r="N1226">
        <v>47.4</v>
      </c>
      <c r="O1226" t="s">
        <v>193</v>
      </c>
      <c r="P1226" t="s">
        <v>193</v>
      </c>
    </row>
    <row r="1227" spans="1:16" ht="12.75">
      <c r="A1227" s="62" t="str">
        <f t="shared" si="19"/>
        <v>Syrian Arab Republic_Health expenditure, public (% of GDP)</v>
      </c>
      <c r="B1227" t="s">
        <v>525</v>
      </c>
      <c r="C1227" t="s">
        <v>526</v>
      </c>
      <c r="D1227" t="s">
        <v>426</v>
      </c>
      <c r="E1227" t="s">
        <v>427</v>
      </c>
      <c r="F1227" t="s">
        <v>193</v>
      </c>
      <c r="G1227" t="s">
        <v>193</v>
      </c>
      <c r="H1227" t="s">
        <v>193</v>
      </c>
      <c r="I1227" t="s">
        <v>193</v>
      </c>
      <c r="J1227">
        <v>1.9796</v>
      </c>
      <c r="K1227">
        <v>2.1658</v>
      </c>
      <c r="L1227">
        <v>2.29</v>
      </c>
      <c r="M1227">
        <v>2.4582</v>
      </c>
      <c r="N1227">
        <v>2.2278</v>
      </c>
      <c r="O1227" t="s">
        <v>193</v>
      </c>
      <c r="P1227" t="s">
        <v>193</v>
      </c>
    </row>
    <row r="1228" spans="1:16" ht="12.75">
      <c r="A1228" s="62" t="str">
        <f t="shared" si="19"/>
        <v>Syrian Arab Republic_Health expenditure, total (% of GDP)</v>
      </c>
      <c r="B1228" t="s">
        <v>525</v>
      </c>
      <c r="C1228" t="s">
        <v>526</v>
      </c>
      <c r="D1228" t="s">
        <v>428</v>
      </c>
      <c r="E1228" t="s">
        <v>429</v>
      </c>
      <c r="F1228" t="s">
        <v>193</v>
      </c>
      <c r="G1228" t="s">
        <v>193</v>
      </c>
      <c r="H1228" t="s">
        <v>193</v>
      </c>
      <c r="I1228" t="s">
        <v>193</v>
      </c>
      <c r="J1228">
        <v>4.9</v>
      </c>
      <c r="K1228">
        <v>4.9</v>
      </c>
      <c r="L1228">
        <v>5</v>
      </c>
      <c r="M1228">
        <v>5.1</v>
      </c>
      <c r="N1228">
        <v>4.7</v>
      </c>
      <c r="O1228" t="s">
        <v>193</v>
      </c>
      <c r="P1228" t="s">
        <v>193</v>
      </c>
    </row>
    <row r="1229" spans="1:16" ht="12.75">
      <c r="A1229" s="62" t="str">
        <f t="shared" si="19"/>
        <v>Syrian Arab Republic_GDP (current LCU)</v>
      </c>
      <c r="B1229" t="s">
        <v>525</v>
      </c>
      <c r="C1229" t="s">
        <v>526</v>
      </c>
      <c r="D1229" t="s">
        <v>430</v>
      </c>
      <c r="E1229" t="s">
        <v>431</v>
      </c>
      <c r="F1229">
        <v>690856984576</v>
      </c>
      <c r="G1229">
        <v>745569058816</v>
      </c>
      <c r="H1229">
        <v>790443982848</v>
      </c>
      <c r="I1229">
        <v>819091996672</v>
      </c>
      <c r="J1229">
        <v>923198029824</v>
      </c>
      <c r="K1229">
        <v>1015534977024</v>
      </c>
      <c r="L1229">
        <v>1061415026688</v>
      </c>
      <c r="M1229">
        <v>1102148009984</v>
      </c>
      <c r="N1229">
        <v>1243045036032</v>
      </c>
      <c r="O1229">
        <v>1482548051968</v>
      </c>
      <c r="P1229">
        <v>1815616028672</v>
      </c>
    </row>
    <row r="1230" spans="1:16" ht="12.75">
      <c r="A1230" s="62" t="str">
        <f t="shared" si="19"/>
        <v>Syrian Arab Republic_GDP (current US$)</v>
      </c>
      <c r="B1230" t="s">
        <v>525</v>
      </c>
      <c r="C1230" t="s">
        <v>526</v>
      </c>
      <c r="D1230" t="s">
        <v>432</v>
      </c>
      <c r="E1230" t="s">
        <v>433</v>
      </c>
      <c r="F1230">
        <v>13789560832</v>
      </c>
      <c r="G1230">
        <v>14505234432</v>
      </c>
      <c r="H1230">
        <v>15200845824</v>
      </c>
      <c r="I1230">
        <v>15873875968</v>
      </c>
      <c r="J1230">
        <v>19325894656</v>
      </c>
      <c r="K1230">
        <v>21099833344</v>
      </c>
      <c r="L1230">
        <v>21582247936</v>
      </c>
      <c r="M1230">
        <v>22396829696</v>
      </c>
      <c r="N1230">
        <v>24306706432</v>
      </c>
      <c r="O1230">
        <v>28433985536</v>
      </c>
      <c r="P1230">
        <v>34902269952</v>
      </c>
    </row>
    <row r="1231" spans="1:16" ht="12.75">
      <c r="A1231" s="62" t="str">
        <f t="shared" si="19"/>
        <v>Syrian Arab Republic_GDP per capita, PPP (current international $)</v>
      </c>
      <c r="B1231" t="s">
        <v>525</v>
      </c>
      <c r="C1231" t="s">
        <v>526</v>
      </c>
      <c r="D1231" t="s">
        <v>434</v>
      </c>
      <c r="E1231" t="s">
        <v>435</v>
      </c>
      <c r="F1231">
        <v>3069.99994592959</v>
      </c>
      <c r="G1231">
        <v>3094.84442802304</v>
      </c>
      <c r="H1231">
        <v>3241.61929027727</v>
      </c>
      <c r="I1231">
        <v>3090.45164934833</v>
      </c>
      <c r="J1231">
        <v>3162.29570504741</v>
      </c>
      <c r="K1231">
        <v>3321.58019661236</v>
      </c>
      <c r="L1231">
        <v>3426.28261693665</v>
      </c>
      <c r="M1231">
        <v>3465.99002538301</v>
      </c>
      <c r="N1231">
        <v>3641.23469716379</v>
      </c>
      <c r="O1231">
        <v>3832.40173533818</v>
      </c>
      <c r="P1231">
        <v>4045.60322272398</v>
      </c>
    </row>
    <row r="1232" spans="1:16" ht="12.75">
      <c r="A1232" s="62" t="str">
        <f t="shared" si="19"/>
        <v>Syrian Arab Republic_GDP per capita, PPP (constant 2000 international $)</v>
      </c>
      <c r="B1232" t="s">
        <v>525</v>
      </c>
      <c r="C1232" t="s">
        <v>526</v>
      </c>
      <c r="D1232" t="s">
        <v>436</v>
      </c>
      <c r="E1232" t="s">
        <v>437</v>
      </c>
      <c r="F1232">
        <v>3271.34963599536</v>
      </c>
      <c r="G1232">
        <v>3243.64327940739</v>
      </c>
      <c r="H1232">
        <v>3360.14254340292</v>
      </c>
      <c r="I1232">
        <v>3157.81902435206</v>
      </c>
      <c r="J1232">
        <v>3162.29570504741</v>
      </c>
      <c r="K1232">
        <v>3243.4516759238</v>
      </c>
      <c r="L1232">
        <v>3288.14701343495</v>
      </c>
      <c r="M1232">
        <v>3259.9068272646</v>
      </c>
      <c r="N1232">
        <v>3337.16471948827</v>
      </c>
      <c r="O1232">
        <v>3409.52134335002</v>
      </c>
      <c r="P1232">
        <v>3496.80606402972</v>
      </c>
    </row>
    <row r="1233" spans="1:16" ht="12.75">
      <c r="A1233" s="62" t="str">
        <f t="shared" si="19"/>
        <v>Syrian Arab Republic_GINI index</v>
      </c>
      <c r="B1233" t="s">
        <v>525</v>
      </c>
      <c r="C1233" t="s">
        <v>526</v>
      </c>
      <c r="D1233" t="s">
        <v>438</v>
      </c>
      <c r="E1233" t="s">
        <v>439</v>
      </c>
      <c r="F1233" t="s">
        <v>193</v>
      </c>
      <c r="G1233" t="s">
        <v>193</v>
      </c>
      <c r="H1233" t="s">
        <v>193</v>
      </c>
      <c r="I1233" t="s">
        <v>193</v>
      </c>
      <c r="J1233" t="s">
        <v>193</v>
      </c>
      <c r="K1233" t="s">
        <v>193</v>
      </c>
      <c r="L1233" t="s">
        <v>193</v>
      </c>
      <c r="M1233" t="s">
        <v>193</v>
      </c>
      <c r="N1233" t="s">
        <v>193</v>
      </c>
      <c r="O1233" t="s">
        <v>193</v>
      </c>
      <c r="P1233" t="s">
        <v>193</v>
      </c>
    </row>
    <row r="1234" spans="1:16" ht="12.75">
      <c r="A1234" s="62" t="str">
        <f t="shared" si="19"/>
        <v>Tajikistan_Poverty headcount ratio at national poverty line (% of population)</v>
      </c>
      <c r="B1234" t="s">
        <v>527</v>
      </c>
      <c r="C1234" t="s">
        <v>222</v>
      </c>
      <c r="D1234" t="s">
        <v>408</v>
      </c>
      <c r="E1234" t="s">
        <v>409</v>
      </c>
      <c r="F1234" t="s">
        <v>193</v>
      </c>
      <c r="G1234" t="s">
        <v>193</v>
      </c>
      <c r="H1234" t="s">
        <v>193</v>
      </c>
      <c r="I1234" t="s">
        <v>193</v>
      </c>
      <c r="J1234" t="s">
        <v>193</v>
      </c>
      <c r="K1234" t="s">
        <v>193</v>
      </c>
      <c r="L1234" t="s">
        <v>193</v>
      </c>
      <c r="M1234" t="s">
        <v>193</v>
      </c>
      <c r="N1234" t="s">
        <v>193</v>
      </c>
      <c r="O1234" t="s">
        <v>193</v>
      </c>
      <c r="P1234" t="s">
        <v>193</v>
      </c>
    </row>
    <row r="1235" spans="1:16" ht="12.75">
      <c r="A1235" s="62" t="str">
        <f t="shared" si="19"/>
        <v>Tajikistan_Poverty headcount ratio at $2 a day (PPP) (% of population)</v>
      </c>
      <c r="B1235" t="s">
        <v>527</v>
      </c>
      <c r="C1235" t="s">
        <v>222</v>
      </c>
      <c r="D1235" t="s">
        <v>410</v>
      </c>
      <c r="E1235" t="s">
        <v>411</v>
      </c>
      <c r="F1235" t="s">
        <v>193</v>
      </c>
      <c r="G1235" t="s">
        <v>193</v>
      </c>
      <c r="H1235" t="s">
        <v>193</v>
      </c>
      <c r="I1235">
        <v>58.67</v>
      </c>
      <c r="J1235" t="s">
        <v>193</v>
      </c>
      <c r="K1235" t="s">
        <v>193</v>
      </c>
      <c r="L1235" t="s">
        <v>193</v>
      </c>
      <c r="M1235">
        <v>42.79</v>
      </c>
      <c r="N1235" t="s">
        <v>193</v>
      </c>
      <c r="O1235" t="s">
        <v>193</v>
      </c>
      <c r="P1235" t="s">
        <v>193</v>
      </c>
    </row>
    <row r="1236" spans="1:16" ht="12.75">
      <c r="A1236" s="62" t="str">
        <f t="shared" si="19"/>
        <v>Tajikistan_Poverty headcount ratio at $1 a day (PPP) (% of population)</v>
      </c>
      <c r="B1236" t="s">
        <v>527</v>
      </c>
      <c r="C1236" t="s">
        <v>222</v>
      </c>
      <c r="D1236" t="s">
        <v>412</v>
      </c>
      <c r="E1236" t="s">
        <v>413</v>
      </c>
      <c r="F1236" t="s">
        <v>193</v>
      </c>
      <c r="G1236" t="s">
        <v>193</v>
      </c>
      <c r="H1236" t="s">
        <v>193</v>
      </c>
      <c r="I1236">
        <v>13.87</v>
      </c>
      <c r="J1236" t="s">
        <v>193</v>
      </c>
      <c r="K1236" t="s">
        <v>193</v>
      </c>
      <c r="L1236" t="s">
        <v>193</v>
      </c>
      <c r="M1236">
        <v>7.42</v>
      </c>
      <c r="N1236" t="s">
        <v>193</v>
      </c>
      <c r="O1236" t="s">
        <v>193</v>
      </c>
      <c r="P1236" t="s">
        <v>193</v>
      </c>
    </row>
    <row r="1237" spans="1:16" ht="12.75">
      <c r="A1237" s="62" t="str">
        <f t="shared" si="19"/>
        <v>Tajikistan_Poverty gap at $1 a day (PPP) (%)</v>
      </c>
      <c r="B1237" t="s">
        <v>527</v>
      </c>
      <c r="C1237" t="s">
        <v>222</v>
      </c>
      <c r="D1237" t="s">
        <v>414</v>
      </c>
      <c r="E1237" t="s">
        <v>415</v>
      </c>
      <c r="F1237" t="s">
        <v>193</v>
      </c>
      <c r="G1237" t="s">
        <v>193</v>
      </c>
      <c r="H1237" t="s">
        <v>193</v>
      </c>
      <c r="I1237">
        <v>3.44</v>
      </c>
      <c r="J1237" t="s">
        <v>193</v>
      </c>
      <c r="K1237" t="s">
        <v>193</v>
      </c>
      <c r="L1237" t="s">
        <v>193</v>
      </c>
      <c r="M1237">
        <v>1.332</v>
      </c>
      <c r="N1237" t="s">
        <v>193</v>
      </c>
      <c r="O1237" t="s">
        <v>193</v>
      </c>
      <c r="P1237" t="s">
        <v>193</v>
      </c>
    </row>
    <row r="1238" spans="1:16" ht="12.75">
      <c r="A1238" s="62" t="str">
        <f t="shared" si="19"/>
        <v>Tajikistan_Poverty gap at $2 a day (PPP) (%)</v>
      </c>
      <c r="B1238" t="s">
        <v>527</v>
      </c>
      <c r="C1238" t="s">
        <v>222</v>
      </c>
      <c r="D1238" t="s">
        <v>416</v>
      </c>
      <c r="E1238" t="s">
        <v>417</v>
      </c>
      <c r="F1238" t="s">
        <v>193</v>
      </c>
      <c r="G1238" t="s">
        <v>193</v>
      </c>
      <c r="H1238" t="s">
        <v>193</v>
      </c>
      <c r="I1238">
        <v>19.92</v>
      </c>
      <c r="J1238" t="s">
        <v>193</v>
      </c>
      <c r="K1238" t="s">
        <v>193</v>
      </c>
      <c r="L1238" t="s">
        <v>193</v>
      </c>
      <c r="M1238">
        <v>13.007</v>
      </c>
      <c r="N1238" t="s">
        <v>193</v>
      </c>
      <c r="O1238" t="s">
        <v>193</v>
      </c>
      <c r="P1238" t="s">
        <v>193</v>
      </c>
    </row>
    <row r="1239" spans="1:16" ht="12.75">
      <c r="A1239" s="62" t="str">
        <f t="shared" si="19"/>
        <v>Tajikistan_Population, total</v>
      </c>
      <c r="B1239" t="s">
        <v>527</v>
      </c>
      <c r="C1239" t="s">
        <v>222</v>
      </c>
      <c r="D1239" t="s">
        <v>418</v>
      </c>
      <c r="E1239" t="s">
        <v>419</v>
      </c>
      <c r="F1239">
        <v>5855038</v>
      </c>
      <c r="G1239">
        <v>5937150</v>
      </c>
      <c r="H1239">
        <v>6018196</v>
      </c>
      <c r="I1239">
        <v>6096955</v>
      </c>
      <c r="J1239">
        <v>6172835</v>
      </c>
      <c r="K1239">
        <v>6245969</v>
      </c>
      <c r="L1239">
        <v>6317813</v>
      </c>
      <c r="M1239">
        <v>6390641</v>
      </c>
      <c r="N1239">
        <v>6467377</v>
      </c>
      <c r="O1239">
        <v>6550213</v>
      </c>
      <c r="P1239">
        <v>6652000</v>
      </c>
    </row>
    <row r="1240" spans="1:16" ht="12.75">
      <c r="A1240" s="62" t="str">
        <f t="shared" si="19"/>
        <v>Tajikistan_Public spending on education, total (% of GDP)</v>
      </c>
      <c r="B1240" t="s">
        <v>527</v>
      </c>
      <c r="C1240" t="s">
        <v>222</v>
      </c>
      <c r="D1240" t="s">
        <v>420</v>
      </c>
      <c r="E1240" t="s">
        <v>421</v>
      </c>
      <c r="F1240" t="s">
        <v>193</v>
      </c>
      <c r="G1240" t="s">
        <v>193</v>
      </c>
      <c r="H1240" t="s">
        <v>193</v>
      </c>
      <c r="I1240">
        <v>2.07658938064017</v>
      </c>
      <c r="J1240">
        <v>2.32862760455265</v>
      </c>
      <c r="K1240">
        <v>2.37657822486535</v>
      </c>
      <c r="L1240">
        <v>2.77580474019488</v>
      </c>
      <c r="M1240">
        <v>2.42069262432796</v>
      </c>
      <c r="N1240">
        <v>2.77642978418942</v>
      </c>
      <c r="O1240">
        <v>3.49176313211244</v>
      </c>
      <c r="P1240" t="s">
        <v>193</v>
      </c>
    </row>
    <row r="1241" spans="1:16" ht="12.75">
      <c r="A1241" s="62" t="str">
        <f t="shared" si="19"/>
        <v>Tajikistan_Public spending on education, total (% of government expenditure)</v>
      </c>
      <c r="B1241" t="s">
        <v>527</v>
      </c>
      <c r="C1241" t="s">
        <v>222</v>
      </c>
      <c r="D1241" t="s">
        <v>422</v>
      </c>
      <c r="E1241" t="s">
        <v>423</v>
      </c>
      <c r="F1241" t="s">
        <v>193</v>
      </c>
      <c r="G1241" t="s">
        <v>193</v>
      </c>
      <c r="H1241" t="s">
        <v>193</v>
      </c>
      <c r="I1241">
        <v>11.8166935688997</v>
      </c>
      <c r="J1241" t="s">
        <v>193</v>
      </c>
      <c r="K1241" t="s">
        <v>193</v>
      </c>
      <c r="L1241">
        <v>17.8013276439734</v>
      </c>
      <c r="M1241">
        <v>16.3292891093825</v>
      </c>
      <c r="N1241">
        <v>16.9442817341972</v>
      </c>
      <c r="O1241">
        <v>18.0442960375131</v>
      </c>
      <c r="P1241" t="s">
        <v>193</v>
      </c>
    </row>
    <row r="1242" spans="1:16" ht="12.75">
      <c r="A1242" s="62" t="str">
        <f t="shared" si="19"/>
        <v>Tajikistan_Health expenditure, public (% of total health expenditure)</v>
      </c>
      <c r="B1242" t="s">
        <v>527</v>
      </c>
      <c r="C1242" t="s">
        <v>222</v>
      </c>
      <c r="D1242" t="s">
        <v>424</v>
      </c>
      <c r="E1242" t="s">
        <v>425</v>
      </c>
      <c r="F1242" t="s">
        <v>193</v>
      </c>
      <c r="G1242" t="s">
        <v>193</v>
      </c>
      <c r="H1242" t="s">
        <v>193</v>
      </c>
      <c r="I1242" t="s">
        <v>193</v>
      </c>
      <c r="J1242">
        <v>23.2</v>
      </c>
      <c r="K1242">
        <v>22.9</v>
      </c>
      <c r="L1242">
        <v>21.6</v>
      </c>
      <c r="M1242">
        <v>20.4</v>
      </c>
      <c r="N1242">
        <v>21.6</v>
      </c>
      <c r="O1242" t="s">
        <v>193</v>
      </c>
      <c r="P1242" t="s">
        <v>193</v>
      </c>
    </row>
    <row r="1243" spans="1:16" ht="12.75">
      <c r="A1243" s="62" t="str">
        <f t="shared" si="19"/>
        <v>Tajikistan_Health expenditure, public (% of GDP)</v>
      </c>
      <c r="B1243" t="s">
        <v>527</v>
      </c>
      <c r="C1243" t="s">
        <v>222</v>
      </c>
      <c r="D1243" t="s">
        <v>426</v>
      </c>
      <c r="E1243" t="s">
        <v>427</v>
      </c>
      <c r="F1243" t="s">
        <v>193</v>
      </c>
      <c r="G1243" t="s">
        <v>193</v>
      </c>
      <c r="H1243" t="s">
        <v>193</v>
      </c>
      <c r="I1243" t="s">
        <v>193</v>
      </c>
      <c r="J1243">
        <v>0.9512</v>
      </c>
      <c r="K1243">
        <v>0.9618</v>
      </c>
      <c r="L1243">
        <v>0.9072</v>
      </c>
      <c r="M1243">
        <v>0.918</v>
      </c>
      <c r="N1243">
        <v>0.9504</v>
      </c>
      <c r="O1243" t="s">
        <v>193</v>
      </c>
      <c r="P1243" t="s">
        <v>193</v>
      </c>
    </row>
    <row r="1244" spans="1:16" ht="12.75">
      <c r="A1244" s="62" t="str">
        <f t="shared" si="19"/>
        <v>Tajikistan_Health expenditure, total (% of GDP)</v>
      </c>
      <c r="B1244" t="s">
        <v>527</v>
      </c>
      <c r="C1244" t="s">
        <v>222</v>
      </c>
      <c r="D1244" t="s">
        <v>428</v>
      </c>
      <c r="E1244" t="s">
        <v>429</v>
      </c>
      <c r="F1244" t="s">
        <v>193</v>
      </c>
      <c r="G1244" t="s">
        <v>193</v>
      </c>
      <c r="H1244" t="s">
        <v>193</v>
      </c>
      <c r="I1244" t="s">
        <v>193</v>
      </c>
      <c r="J1244">
        <v>4.1</v>
      </c>
      <c r="K1244">
        <v>4.2</v>
      </c>
      <c r="L1244">
        <v>4.2</v>
      </c>
      <c r="M1244">
        <v>4.5</v>
      </c>
      <c r="N1244">
        <v>4.4</v>
      </c>
      <c r="O1244" t="s">
        <v>193</v>
      </c>
      <c r="P1244" t="s">
        <v>193</v>
      </c>
    </row>
    <row r="1245" spans="1:16" ht="12.75">
      <c r="A1245" s="62" t="str">
        <f t="shared" si="19"/>
        <v>Tajikistan_GDP (current LCU)</v>
      </c>
      <c r="B1245" t="s">
        <v>527</v>
      </c>
      <c r="C1245" t="s">
        <v>222</v>
      </c>
      <c r="D1245" t="s">
        <v>430</v>
      </c>
      <c r="E1245" t="s">
        <v>431</v>
      </c>
      <c r="F1245">
        <v>308470400</v>
      </c>
      <c r="G1245">
        <v>518352384</v>
      </c>
      <c r="H1245">
        <v>1025210368</v>
      </c>
      <c r="I1245">
        <v>1344953088</v>
      </c>
      <c r="J1245">
        <v>1786760576</v>
      </c>
      <c r="K1245">
        <v>2563812096</v>
      </c>
      <c r="L1245">
        <v>3375280640</v>
      </c>
      <c r="M1245">
        <v>4761442304</v>
      </c>
      <c r="N1245">
        <v>6167204864</v>
      </c>
      <c r="O1245">
        <v>7206575104</v>
      </c>
      <c r="P1245">
        <v>9272200192</v>
      </c>
    </row>
    <row r="1246" spans="1:16" ht="12.75">
      <c r="A1246" s="62" t="str">
        <f t="shared" si="19"/>
        <v>Tajikistan_GDP (current US$)</v>
      </c>
      <c r="B1246" t="s">
        <v>527</v>
      </c>
      <c r="C1246" t="s">
        <v>222</v>
      </c>
      <c r="D1246" t="s">
        <v>432</v>
      </c>
      <c r="E1246" t="s">
        <v>433</v>
      </c>
      <c r="F1246">
        <v>1053915072</v>
      </c>
      <c r="G1246">
        <v>919064512</v>
      </c>
      <c r="H1246">
        <v>1320126720</v>
      </c>
      <c r="I1246">
        <v>1086655104</v>
      </c>
      <c r="J1246">
        <v>980013504</v>
      </c>
      <c r="K1246">
        <v>1103752832</v>
      </c>
      <c r="L1246">
        <v>1238262400</v>
      </c>
      <c r="M1246">
        <v>1554054912</v>
      </c>
      <c r="N1246">
        <v>2075801088</v>
      </c>
      <c r="O1246">
        <v>2312022784</v>
      </c>
      <c r="P1246">
        <v>2811461376</v>
      </c>
    </row>
    <row r="1247" spans="1:16" ht="12.75">
      <c r="A1247" s="62" t="str">
        <f t="shared" si="19"/>
        <v>Tajikistan_GDP per capita, PPP (current international $)</v>
      </c>
      <c r="B1247" t="s">
        <v>527</v>
      </c>
      <c r="C1247" t="s">
        <v>222</v>
      </c>
      <c r="D1247" t="s">
        <v>434</v>
      </c>
      <c r="E1247" t="s">
        <v>435</v>
      </c>
      <c r="F1247">
        <v>664.800871543645</v>
      </c>
      <c r="G1247">
        <v>677.888988884941</v>
      </c>
      <c r="H1247">
        <v>712.028190270186</v>
      </c>
      <c r="I1247">
        <v>739.366419321064</v>
      </c>
      <c r="J1247">
        <v>808.131011412333</v>
      </c>
      <c r="K1247">
        <v>901.333544756673</v>
      </c>
      <c r="L1247">
        <v>989.185989190642</v>
      </c>
      <c r="M1247">
        <v>1099.59324109925</v>
      </c>
      <c r="N1247">
        <v>1233.25346281087</v>
      </c>
      <c r="O1247">
        <v>1338.43146947618</v>
      </c>
      <c r="P1247">
        <v>1454.15946204642</v>
      </c>
    </row>
    <row r="1248" spans="1:16" ht="12.75">
      <c r="A1248" s="62" t="str">
        <f t="shared" si="19"/>
        <v>Tajikistan_GDP per capita, PPP (constant 2000 international $)</v>
      </c>
      <c r="B1248" t="s">
        <v>527</v>
      </c>
      <c r="C1248" t="s">
        <v>222</v>
      </c>
      <c r="D1248" t="s">
        <v>436</v>
      </c>
      <c r="E1248" t="s">
        <v>437</v>
      </c>
      <c r="F1248">
        <v>708.402647373721</v>
      </c>
      <c r="G1248">
        <v>710.481613573547</v>
      </c>
      <c r="H1248">
        <v>738.062060959785</v>
      </c>
      <c r="I1248">
        <v>755.483537621901</v>
      </c>
      <c r="J1248">
        <v>808.131011412333</v>
      </c>
      <c r="K1248">
        <v>880.132835356178</v>
      </c>
      <c r="L1248">
        <v>949.305506793527</v>
      </c>
      <c r="M1248">
        <v>1034.21287644281</v>
      </c>
      <c r="N1248">
        <v>1130.26769449518</v>
      </c>
      <c r="O1248">
        <v>1190.74433656358</v>
      </c>
      <c r="P1248">
        <v>1256.89874785257</v>
      </c>
    </row>
    <row r="1249" spans="1:16" ht="12.75">
      <c r="A1249" s="62" t="str">
        <f t="shared" si="19"/>
        <v>Tajikistan_GINI index</v>
      </c>
      <c r="B1249" t="s">
        <v>527</v>
      </c>
      <c r="C1249" t="s">
        <v>222</v>
      </c>
      <c r="D1249" t="s">
        <v>438</v>
      </c>
      <c r="E1249" t="s">
        <v>439</v>
      </c>
      <c r="F1249" t="s">
        <v>193</v>
      </c>
      <c r="G1249" t="s">
        <v>193</v>
      </c>
      <c r="H1249" t="s">
        <v>193</v>
      </c>
      <c r="I1249">
        <v>31.52</v>
      </c>
      <c r="J1249" t="s">
        <v>193</v>
      </c>
      <c r="K1249" t="s">
        <v>193</v>
      </c>
      <c r="L1249" t="s">
        <v>193</v>
      </c>
      <c r="M1249">
        <v>32.64</v>
      </c>
      <c r="N1249" t="s">
        <v>193</v>
      </c>
      <c r="O1249" t="s">
        <v>193</v>
      </c>
      <c r="P1249" t="s">
        <v>193</v>
      </c>
    </row>
    <row r="1250" spans="1:16" ht="12.75">
      <c r="A1250" s="62" t="str">
        <f t="shared" si="19"/>
        <v>Thailand_Poverty headcount ratio at national poverty line (% of population)</v>
      </c>
      <c r="B1250" t="s">
        <v>528</v>
      </c>
      <c r="C1250" t="s">
        <v>231</v>
      </c>
      <c r="D1250" t="s">
        <v>408</v>
      </c>
      <c r="E1250" t="s">
        <v>409</v>
      </c>
      <c r="F1250" t="s">
        <v>193</v>
      </c>
      <c r="G1250" t="s">
        <v>193</v>
      </c>
      <c r="H1250">
        <v>13.6</v>
      </c>
      <c r="I1250" t="s">
        <v>193</v>
      </c>
      <c r="J1250" t="s">
        <v>193</v>
      </c>
      <c r="K1250" t="s">
        <v>193</v>
      </c>
      <c r="L1250" t="s">
        <v>193</v>
      </c>
      <c r="M1250" t="s">
        <v>193</v>
      </c>
      <c r="N1250" t="s">
        <v>193</v>
      </c>
      <c r="O1250" t="s">
        <v>193</v>
      </c>
      <c r="P1250" t="s">
        <v>193</v>
      </c>
    </row>
    <row r="1251" spans="1:16" ht="12.75">
      <c r="A1251" s="62" t="str">
        <f aca="true" t="shared" si="20" ref="A1251:A1314">C1251&amp;"_"&amp;E1251</f>
        <v>Thailand_Poverty headcount ratio at $2 a day (PPP) (% of population)</v>
      </c>
      <c r="B1251" t="s">
        <v>528</v>
      </c>
      <c r="C1251" t="s">
        <v>231</v>
      </c>
      <c r="D1251" t="s">
        <v>410</v>
      </c>
      <c r="E1251" t="s">
        <v>411</v>
      </c>
      <c r="F1251">
        <v>28.25</v>
      </c>
      <c r="G1251" t="s">
        <v>193</v>
      </c>
      <c r="H1251" t="s">
        <v>193</v>
      </c>
      <c r="I1251">
        <v>31.58</v>
      </c>
      <c r="J1251">
        <v>32.47</v>
      </c>
      <c r="K1251" t="s">
        <v>193</v>
      </c>
      <c r="L1251">
        <v>25.15</v>
      </c>
      <c r="M1251" t="s">
        <v>193</v>
      </c>
      <c r="N1251" t="s">
        <v>193</v>
      </c>
      <c r="O1251" t="s">
        <v>193</v>
      </c>
      <c r="P1251" t="s">
        <v>193</v>
      </c>
    </row>
    <row r="1252" spans="1:16" ht="12.75">
      <c r="A1252" s="62" t="str">
        <f t="shared" si="20"/>
        <v>Thailand_Poverty headcount ratio at $1 a day (PPP) (% of population)</v>
      </c>
      <c r="B1252" t="s">
        <v>528</v>
      </c>
      <c r="C1252" t="s">
        <v>231</v>
      </c>
      <c r="D1252" t="s">
        <v>412</v>
      </c>
      <c r="E1252" t="s">
        <v>413</v>
      </c>
      <c r="F1252">
        <v>2.2</v>
      </c>
      <c r="G1252" t="s">
        <v>193</v>
      </c>
      <c r="H1252" t="s">
        <v>193</v>
      </c>
      <c r="I1252">
        <v>2.02</v>
      </c>
      <c r="J1252">
        <v>2</v>
      </c>
      <c r="K1252" t="s">
        <v>193</v>
      </c>
      <c r="L1252">
        <v>2</v>
      </c>
      <c r="M1252" t="s">
        <v>193</v>
      </c>
      <c r="N1252" t="s">
        <v>193</v>
      </c>
      <c r="O1252" t="s">
        <v>193</v>
      </c>
      <c r="P1252" t="s">
        <v>193</v>
      </c>
    </row>
    <row r="1253" spans="1:16" ht="12.75">
      <c r="A1253" s="62" t="str">
        <f t="shared" si="20"/>
        <v>Thailand_Poverty gap at $1 a day (PPP) (%)</v>
      </c>
      <c r="B1253" t="s">
        <v>528</v>
      </c>
      <c r="C1253" t="s">
        <v>231</v>
      </c>
      <c r="D1253" t="s">
        <v>414</v>
      </c>
      <c r="E1253" t="s">
        <v>415</v>
      </c>
      <c r="F1253">
        <v>0.5</v>
      </c>
      <c r="G1253" t="s">
        <v>193</v>
      </c>
      <c r="H1253" t="s">
        <v>193</v>
      </c>
      <c r="I1253">
        <v>0.5</v>
      </c>
      <c r="J1253">
        <v>0.5</v>
      </c>
      <c r="K1253" t="s">
        <v>193</v>
      </c>
      <c r="L1253">
        <v>0.5</v>
      </c>
      <c r="M1253" t="s">
        <v>193</v>
      </c>
      <c r="N1253" t="s">
        <v>193</v>
      </c>
      <c r="O1253" t="s">
        <v>193</v>
      </c>
      <c r="P1253" t="s">
        <v>193</v>
      </c>
    </row>
    <row r="1254" spans="1:16" ht="12.75">
      <c r="A1254" s="62" t="str">
        <f t="shared" si="20"/>
        <v>Thailand_Poverty gap at $2 a day (PPP) (%)</v>
      </c>
      <c r="B1254" t="s">
        <v>528</v>
      </c>
      <c r="C1254" t="s">
        <v>231</v>
      </c>
      <c r="D1254" t="s">
        <v>416</v>
      </c>
      <c r="E1254" t="s">
        <v>417</v>
      </c>
      <c r="F1254">
        <v>7.29</v>
      </c>
      <c r="G1254" t="s">
        <v>193</v>
      </c>
      <c r="H1254" t="s">
        <v>193</v>
      </c>
      <c r="I1254">
        <v>8.74</v>
      </c>
      <c r="J1254">
        <v>8.99</v>
      </c>
      <c r="K1254" t="s">
        <v>193</v>
      </c>
      <c r="L1254">
        <v>6.21</v>
      </c>
      <c r="M1254" t="s">
        <v>193</v>
      </c>
      <c r="N1254" t="s">
        <v>193</v>
      </c>
      <c r="O1254" t="s">
        <v>193</v>
      </c>
      <c r="P1254" t="s">
        <v>193</v>
      </c>
    </row>
    <row r="1255" spans="1:16" ht="12.75">
      <c r="A1255" s="62" t="str">
        <f t="shared" si="20"/>
        <v>Thailand_Population, total</v>
      </c>
      <c r="B1255" t="s">
        <v>528</v>
      </c>
      <c r="C1255" t="s">
        <v>231</v>
      </c>
      <c r="D1255" t="s">
        <v>418</v>
      </c>
      <c r="E1255" t="s">
        <v>419</v>
      </c>
      <c r="F1255">
        <v>59000672</v>
      </c>
      <c r="G1255">
        <v>59637822</v>
      </c>
      <c r="H1255">
        <v>60252138</v>
      </c>
      <c r="I1255">
        <v>60850548</v>
      </c>
      <c r="J1255">
        <v>61438314</v>
      </c>
      <c r="K1255">
        <v>62016900</v>
      </c>
      <c r="L1255">
        <v>62585526</v>
      </c>
      <c r="M1255">
        <v>63144526</v>
      </c>
      <c r="N1255">
        <v>63693661</v>
      </c>
      <c r="O1255">
        <v>64232758</v>
      </c>
      <c r="P1255">
        <v>64724421.7751755</v>
      </c>
    </row>
    <row r="1256" spans="1:16" ht="12.75">
      <c r="A1256" s="62" t="str">
        <f t="shared" si="20"/>
        <v>Thailand_Public spending on education, total (% of GDP)</v>
      </c>
      <c r="B1256" t="s">
        <v>528</v>
      </c>
      <c r="C1256" t="s">
        <v>231</v>
      </c>
      <c r="D1256" t="s">
        <v>420</v>
      </c>
      <c r="E1256" t="s">
        <v>421</v>
      </c>
      <c r="F1256" t="s">
        <v>193</v>
      </c>
      <c r="G1256" t="s">
        <v>193</v>
      </c>
      <c r="H1256" t="s">
        <v>193</v>
      </c>
      <c r="I1256">
        <v>4.99185926341096</v>
      </c>
      <c r="J1256">
        <v>5.41043268219082</v>
      </c>
      <c r="K1256">
        <v>5.01636118109279</v>
      </c>
      <c r="L1256" t="s">
        <v>193</v>
      </c>
      <c r="M1256" t="s">
        <v>193</v>
      </c>
      <c r="N1256">
        <v>4.23337444131836</v>
      </c>
      <c r="O1256">
        <v>4.22218923446963</v>
      </c>
      <c r="P1256" t="s">
        <v>193</v>
      </c>
    </row>
    <row r="1257" spans="1:16" ht="12.75">
      <c r="A1257" s="62" t="str">
        <f t="shared" si="20"/>
        <v>Thailand_Public spending on education, total (% of government expenditure)</v>
      </c>
      <c r="B1257" t="s">
        <v>528</v>
      </c>
      <c r="C1257" t="s">
        <v>231</v>
      </c>
      <c r="D1257" t="s">
        <v>422</v>
      </c>
      <c r="E1257" t="s">
        <v>423</v>
      </c>
      <c r="F1257" t="s">
        <v>193</v>
      </c>
      <c r="G1257" t="s">
        <v>193</v>
      </c>
      <c r="H1257" t="s">
        <v>193</v>
      </c>
      <c r="I1257">
        <v>28.0577515151515</v>
      </c>
      <c r="J1257">
        <v>30.969888372093</v>
      </c>
      <c r="K1257">
        <v>28.2983517582418</v>
      </c>
      <c r="L1257" t="s">
        <v>193</v>
      </c>
      <c r="M1257" t="s">
        <v>193</v>
      </c>
      <c r="N1257">
        <v>26.7818093385214</v>
      </c>
      <c r="O1257">
        <v>24.9917083333333</v>
      </c>
      <c r="P1257" t="s">
        <v>193</v>
      </c>
    </row>
    <row r="1258" spans="1:16" ht="12.75">
      <c r="A1258" s="62" t="str">
        <f t="shared" si="20"/>
        <v>Thailand_Health expenditure, public (% of total health expenditure)</v>
      </c>
      <c r="B1258" t="s">
        <v>528</v>
      </c>
      <c r="C1258" t="s">
        <v>231</v>
      </c>
      <c r="D1258" t="s">
        <v>424</v>
      </c>
      <c r="E1258" t="s">
        <v>425</v>
      </c>
      <c r="F1258" t="s">
        <v>193</v>
      </c>
      <c r="G1258" t="s">
        <v>193</v>
      </c>
      <c r="H1258" t="s">
        <v>193</v>
      </c>
      <c r="I1258" t="s">
        <v>193</v>
      </c>
      <c r="J1258">
        <v>56.1</v>
      </c>
      <c r="K1258">
        <v>56.4</v>
      </c>
      <c r="L1258">
        <v>63.5</v>
      </c>
      <c r="M1258">
        <v>63.7</v>
      </c>
      <c r="N1258">
        <v>64.7</v>
      </c>
      <c r="O1258" t="s">
        <v>193</v>
      </c>
      <c r="P1258" t="s">
        <v>193</v>
      </c>
    </row>
    <row r="1259" spans="1:16" ht="12.75">
      <c r="A1259" s="62" t="str">
        <f t="shared" si="20"/>
        <v>Thailand_Health expenditure, public (% of GDP)</v>
      </c>
      <c r="B1259" t="s">
        <v>528</v>
      </c>
      <c r="C1259" t="s">
        <v>231</v>
      </c>
      <c r="D1259" t="s">
        <v>426</v>
      </c>
      <c r="E1259" t="s">
        <v>427</v>
      </c>
      <c r="F1259" t="s">
        <v>193</v>
      </c>
      <c r="G1259" t="s">
        <v>193</v>
      </c>
      <c r="H1259" t="s">
        <v>193</v>
      </c>
      <c r="I1259" t="s">
        <v>193</v>
      </c>
      <c r="J1259">
        <v>1.9074</v>
      </c>
      <c r="K1259">
        <v>1.8612</v>
      </c>
      <c r="L1259">
        <v>2.3495</v>
      </c>
      <c r="M1259">
        <v>2.2295</v>
      </c>
      <c r="N1259">
        <v>2.2645</v>
      </c>
      <c r="O1259" t="s">
        <v>193</v>
      </c>
      <c r="P1259" t="s">
        <v>193</v>
      </c>
    </row>
    <row r="1260" spans="1:16" ht="12.75">
      <c r="A1260" s="62" t="str">
        <f t="shared" si="20"/>
        <v>Thailand_Health expenditure, total (% of GDP)</v>
      </c>
      <c r="B1260" t="s">
        <v>528</v>
      </c>
      <c r="C1260" t="s">
        <v>231</v>
      </c>
      <c r="D1260" t="s">
        <v>428</v>
      </c>
      <c r="E1260" t="s">
        <v>429</v>
      </c>
      <c r="F1260" t="s">
        <v>193</v>
      </c>
      <c r="G1260" t="s">
        <v>193</v>
      </c>
      <c r="H1260" t="s">
        <v>193</v>
      </c>
      <c r="I1260" t="s">
        <v>193</v>
      </c>
      <c r="J1260">
        <v>3.4</v>
      </c>
      <c r="K1260">
        <v>3.3</v>
      </c>
      <c r="L1260">
        <v>3.7</v>
      </c>
      <c r="M1260">
        <v>3.5</v>
      </c>
      <c r="N1260">
        <v>3.5</v>
      </c>
      <c r="O1260" t="s">
        <v>193</v>
      </c>
      <c r="P1260" t="s">
        <v>193</v>
      </c>
    </row>
    <row r="1261" spans="1:16" ht="12.75">
      <c r="A1261" s="62" t="str">
        <f t="shared" si="20"/>
        <v>Thailand_GDP (current LCU)</v>
      </c>
      <c r="B1261" t="s">
        <v>528</v>
      </c>
      <c r="C1261" t="s">
        <v>231</v>
      </c>
      <c r="D1261" t="s">
        <v>430</v>
      </c>
      <c r="E1261" t="s">
        <v>431</v>
      </c>
      <c r="F1261">
        <v>4611041132544</v>
      </c>
      <c r="G1261">
        <v>4732609888256</v>
      </c>
      <c r="H1261">
        <v>4626446811136</v>
      </c>
      <c r="I1261">
        <v>4637078847488</v>
      </c>
      <c r="J1261">
        <v>4922730872832</v>
      </c>
      <c r="K1261">
        <v>5133501988864</v>
      </c>
      <c r="L1261">
        <v>5450642751488</v>
      </c>
      <c r="M1261">
        <v>5917368123392</v>
      </c>
      <c r="N1261">
        <v>6489847103488</v>
      </c>
      <c r="O1261">
        <v>7087660204032</v>
      </c>
      <c r="P1261">
        <v>7813049876480</v>
      </c>
    </row>
    <row r="1262" spans="1:16" ht="12.75">
      <c r="A1262" s="62" t="str">
        <f t="shared" si="20"/>
        <v>Thailand_GDP (current US$)</v>
      </c>
      <c r="B1262" t="s">
        <v>528</v>
      </c>
      <c r="C1262" t="s">
        <v>231</v>
      </c>
      <c r="D1262" t="s">
        <v>432</v>
      </c>
      <c r="E1262" t="s">
        <v>433</v>
      </c>
      <c r="F1262">
        <v>181688877056</v>
      </c>
      <c r="G1262">
        <v>150891479040</v>
      </c>
      <c r="H1262">
        <v>111859654656</v>
      </c>
      <c r="I1262">
        <v>122337804288</v>
      </c>
      <c r="J1262">
        <v>122725244928</v>
      </c>
      <c r="K1262">
        <v>115536404480</v>
      </c>
      <c r="L1262">
        <v>126876917760</v>
      </c>
      <c r="M1262">
        <v>142640054272</v>
      </c>
      <c r="N1262">
        <v>161349009408</v>
      </c>
      <c r="O1262">
        <v>176221700096</v>
      </c>
      <c r="P1262">
        <v>206247034880</v>
      </c>
    </row>
    <row r="1263" spans="1:16" ht="12.75">
      <c r="A1263" s="62" t="str">
        <f t="shared" si="20"/>
        <v>Thailand_GDP per capita, PPP (current international $)</v>
      </c>
      <c r="B1263" t="s">
        <v>528</v>
      </c>
      <c r="C1263" t="s">
        <v>231</v>
      </c>
      <c r="D1263" t="s">
        <v>434</v>
      </c>
      <c r="E1263" t="s">
        <v>435</v>
      </c>
      <c r="F1263">
        <v>6396.99988733277</v>
      </c>
      <c r="G1263">
        <v>6346.12815145663</v>
      </c>
      <c r="H1263">
        <v>5683.70289308872</v>
      </c>
      <c r="I1263">
        <v>5963.04869392219</v>
      </c>
      <c r="J1263">
        <v>6321.39851346604</v>
      </c>
      <c r="K1263">
        <v>6552.26531278837</v>
      </c>
      <c r="L1263">
        <v>6957.65872581442</v>
      </c>
      <c r="M1263">
        <v>7538.81417765073</v>
      </c>
      <c r="N1263">
        <v>8151.55111721754</v>
      </c>
      <c r="O1263">
        <v>8700.50656835583</v>
      </c>
      <c r="P1263">
        <v>9330.89532264669</v>
      </c>
    </row>
    <row r="1264" spans="1:16" ht="12.75">
      <c r="A1264" s="62" t="str">
        <f t="shared" si="20"/>
        <v>Thailand_GDP per capita, PPP (constant 2000 international $)</v>
      </c>
      <c r="B1264" t="s">
        <v>528</v>
      </c>
      <c r="C1264" t="s">
        <v>231</v>
      </c>
      <c r="D1264" t="s">
        <v>436</v>
      </c>
      <c r="E1264" t="s">
        <v>437</v>
      </c>
      <c r="F1264">
        <v>6816.55492555776</v>
      </c>
      <c r="G1264">
        <v>6651.24739141721</v>
      </c>
      <c r="H1264">
        <v>5891.51599400068</v>
      </c>
      <c r="I1264">
        <v>6093.03452871551</v>
      </c>
      <c r="J1264">
        <v>6321.39851346604</v>
      </c>
      <c r="K1264">
        <v>6398.14625928208</v>
      </c>
      <c r="L1264">
        <v>6677.15052071235</v>
      </c>
      <c r="M1264">
        <v>7090.56622414457</v>
      </c>
      <c r="N1264">
        <v>7470.83642223678</v>
      </c>
      <c r="O1264">
        <v>7740.46274147941</v>
      </c>
      <c r="P1264">
        <v>8065.13381336693</v>
      </c>
    </row>
    <row r="1265" spans="1:16" ht="12.75">
      <c r="A1265" s="62" t="str">
        <f t="shared" si="20"/>
        <v>Thailand_GINI index</v>
      </c>
      <c r="B1265" t="s">
        <v>528</v>
      </c>
      <c r="C1265" t="s">
        <v>231</v>
      </c>
      <c r="D1265" t="s">
        <v>438</v>
      </c>
      <c r="E1265" t="s">
        <v>439</v>
      </c>
      <c r="F1265">
        <v>43.39</v>
      </c>
      <c r="G1265" t="s">
        <v>193</v>
      </c>
      <c r="H1265" t="s">
        <v>193</v>
      </c>
      <c r="I1265">
        <v>43.53</v>
      </c>
      <c r="J1265">
        <v>43.15</v>
      </c>
      <c r="K1265" t="s">
        <v>193</v>
      </c>
      <c r="L1265">
        <v>41.978</v>
      </c>
      <c r="M1265" t="s">
        <v>193</v>
      </c>
      <c r="N1265" t="s">
        <v>193</v>
      </c>
      <c r="O1265" t="s">
        <v>193</v>
      </c>
      <c r="P1265" t="s">
        <v>193</v>
      </c>
    </row>
    <row r="1266" spans="1:16" ht="12.75">
      <c r="A1266" s="62" t="str">
        <f t="shared" si="20"/>
        <v>Tunisia_Poverty headcount ratio at national poverty line (% of population)</v>
      </c>
      <c r="B1266" t="s">
        <v>529</v>
      </c>
      <c r="C1266" t="s">
        <v>202</v>
      </c>
      <c r="D1266" t="s">
        <v>408</v>
      </c>
      <c r="E1266" t="s">
        <v>409</v>
      </c>
      <c r="F1266" t="s">
        <v>193</v>
      </c>
      <c r="G1266" t="s">
        <v>193</v>
      </c>
      <c r="H1266" t="s">
        <v>193</v>
      </c>
      <c r="I1266" t="s">
        <v>193</v>
      </c>
      <c r="J1266" t="s">
        <v>193</v>
      </c>
      <c r="K1266" t="s">
        <v>193</v>
      </c>
      <c r="L1266" t="s">
        <v>193</v>
      </c>
      <c r="M1266" t="s">
        <v>193</v>
      </c>
      <c r="N1266" t="s">
        <v>193</v>
      </c>
      <c r="O1266" t="s">
        <v>193</v>
      </c>
      <c r="P1266" t="s">
        <v>193</v>
      </c>
    </row>
    <row r="1267" spans="1:16" ht="12.75">
      <c r="A1267" s="62" t="str">
        <f t="shared" si="20"/>
        <v>Tunisia_Poverty headcount ratio at $2 a day (PPP) (% of population)</v>
      </c>
      <c r="B1267" t="s">
        <v>529</v>
      </c>
      <c r="C1267" t="s">
        <v>202</v>
      </c>
      <c r="D1267" t="s">
        <v>410</v>
      </c>
      <c r="E1267" t="s">
        <v>411</v>
      </c>
      <c r="F1267" t="s">
        <v>193</v>
      </c>
      <c r="G1267" t="s">
        <v>193</v>
      </c>
      <c r="H1267" t="s">
        <v>193</v>
      </c>
      <c r="I1267" t="s">
        <v>193</v>
      </c>
      <c r="J1267">
        <v>6.64</v>
      </c>
      <c r="K1267" t="s">
        <v>193</v>
      </c>
      <c r="L1267" t="s">
        <v>193</v>
      </c>
      <c r="M1267" t="s">
        <v>193</v>
      </c>
      <c r="N1267" t="s">
        <v>193</v>
      </c>
      <c r="O1267" t="s">
        <v>193</v>
      </c>
      <c r="P1267" t="s">
        <v>193</v>
      </c>
    </row>
    <row r="1268" spans="1:16" ht="12.75">
      <c r="A1268" s="62" t="str">
        <f t="shared" si="20"/>
        <v>Tunisia_Poverty headcount ratio at $1 a day (PPP) (% of population)</v>
      </c>
      <c r="B1268" t="s">
        <v>529</v>
      </c>
      <c r="C1268" t="s">
        <v>202</v>
      </c>
      <c r="D1268" t="s">
        <v>412</v>
      </c>
      <c r="E1268" t="s">
        <v>413</v>
      </c>
      <c r="F1268" t="s">
        <v>193</v>
      </c>
      <c r="G1268" t="s">
        <v>193</v>
      </c>
      <c r="H1268" t="s">
        <v>193</v>
      </c>
      <c r="I1268" t="s">
        <v>193</v>
      </c>
      <c r="J1268">
        <v>2</v>
      </c>
      <c r="K1268" t="s">
        <v>193</v>
      </c>
      <c r="L1268" t="s">
        <v>193</v>
      </c>
      <c r="M1268" t="s">
        <v>193</v>
      </c>
      <c r="N1268" t="s">
        <v>193</v>
      </c>
      <c r="O1268" t="s">
        <v>193</v>
      </c>
      <c r="P1268" t="s">
        <v>193</v>
      </c>
    </row>
    <row r="1269" spans="1:16" ht="12.75">
      <c r="A1269" s="62" t="str">
        <f t="shared" si="20"/>
        <v>Tunisia_Poverty gap at $1 a day (PPP) (%)</v>
      </c>
      <c r="B1269" t="s">
        <v>529</v>
      </c>
      <c r="C1269" t="s">
        <v>202</v>
      </c>
      <c r="D1269" t="s">
        <v>414</v>
      </c>
      <c r="E1269" t="s">
        <v>415</v>
      </c>
      <c r="F1269" t="s">
        <v>193</v>
      </c>
      <c r="G1269" t="s">
        <v>193</v>
      </c>
      <c r="H1269" t="s">
        <v>193</v>
      </c>
      <c r="I1269" t="s">
        <v>193</v>
      </c>
      <c r="J1269">
        <v>0.5</v>
      </c>
      <c r="K1269" t="s">
        <v>193</v>
      </c>
      <c r="L1269" t="s">
        <v>193</v>
      </c>
      <c r="M1269" t="s">
        <v>193</v>
      </c>
      <c r="N1269" t="s">
        <v>193</v>
      </c>
      <c r="O1269" t="s">
        <v>193</v>
      </c>
      <c r="P1269" t="s">
        <v>193</v>
      </c>
    </row>
    <row r="1270" spans="1:16" ht="12.75">
      <c r="A1270" s="62" t="str">
        <f t="shared" si="20"/>
        <v>Tunisia_Poverty gap at $2 a day (PPP) (%)</v>
      </c>
      <c r="B1270" t="s">
        <v>529</v>
      </c>
      <c r="C1270" t="s">
        <v>202</v>
      </c>
      <c r="D1270" t="s">
        <v>416</v>
      </c>
      <c r="E1270" t="s">
        <v>417</v>
      </c>
      <c r="F1270" t="s">
        <v>193</v>
      </c>
      <c r="G1270" t="s">
        <v>193</v>
      </c>
      <c r="H1270" t="s">
        <v>193</v>
      </c>
      <c r="I1270" t="s">
        <v>193</v>
      </c>
      <c r="J1270">
        <v>1.328</v>
      </c>
      <c r="K1270" t="s">
        <v>193</v>
      </c>
      <c r="L1270" t="s">
        <v>193</v>
      </c>
      <c r="M1270" t="s">
        <v>193</v>
      </c>
      <c r="N1270" t="s">
        <v>193</v>
      </c>
      <c r="O1270" t="s">
        <v>193</v>
      </c>
      <c r="P1270" t="s">
        <v>193</v>
      </c>
    </row>
    <row r="1271" spans="1:16" ht="12.75">
      <c r="A1271" s="62" t="str">
        <f t="shared" si="20"/>
        <v>Tunisia_Population, total</v>
      </c>
      <c r="B1271" t="s">
        <v>529</v>
      </c>
      <c r="C1271" t="s">
        <v>202</v>
      </c>
      <c r="D1271" t="s">
        <v>418</v>
      </c>
      <c r="E1271" t="s">
        <v>419</v>
      </c>
      <c r="F1271">
        <v>9089300</v>
      </c>
      <c r="G1271">
        <v>9215000</v>
      </c>
      <c r="H1271">
        <v>9333300</v>
      </c>
      <c r="I1271">
        <v>9455900</v>
      </c>
      <c r="J1271">
        <v>9563500</v>
      </c>
      <c r="K1271">
        <v>9673600</v>
      </c>
      <c r="L1271">
        <v>9781900</v>
      </c>
      <c r="M1271">
        <v>9839800</v>
      </c>
      <c r="N1271">
        <v>9932400</v>
      </c>
      <c r="O1271">
        <v>10029000</v>
      </c>
      <c r="P1271">
        <v>10132251.970508</v>
      </c>
    </row>
    <row r="1272" spans="1:16" ht="12.75">
      <c r="A1272" s="62" t="str">
        <f t="shared" si="20"/>
        <v>Tunisia_Public spending on education, total (% of GDP)</v>
      </c>
      <c r="B1272" t="s">
        <v>529</v>
      </c>
      <c r="C1272" t="s">
        <v>202</v>
      </c>
      <c r="D1272" t="s">
        <v>420</v>
      </c>
      <c r="E1272" t="s">
        <v>421</v>
      </c>
      <c r="F1272" t="s">
        <v>193</v>
      </c>
      <c r="G1272" t="s">
        <v>193</v>
      </c>
      <c r="H1272" t="s">
        <v>193</v>
      </c>
      <c r="I1272">
        <v>6.91769847831315</v>
      </c>
      <c r="J1272">
        <v>6.84064990707549</v>
      </c>
      <c r="K1272">
        <v>6.85024419891006</v>
      </c>
      <c r="L1272">
        <v>6.37334786764441</v>
      </c>
      <c r="M1272">
        <v>7.48793414427943</v>
      </c>
      <c r="N1272">
        <v>7.45042083063365</v>
      </c>
      <c r="O1272">
        <v>7.26132699842779</v>
      </c>
      <c r="P1272" t="s">
        <v>193</v>
      </c>
    </row>
    <row r="1273" spans="1:16" ht="12.75">
      <c r="A1273" s="62" t="str">
        <f t="shared" si="20"/>
        <v>Tunisia_Public spending on education, total (% of government expenditure)</v>
      </c>
      <c r="B1273" t="s">
        <v>529</v>
      </c>
      <c r="C1273" t="s">
        <v>202</v>
      </c>
      <c r="D1273" t="s">
        <v>422</v>
      </c>
      <c r="E1273" t="s">
        <v>423</v>
      </c>
      <c r="F1273" t="s">
        <v>193</v>
      </c>
      <c r="G1273" t="s">
        <v>193</v>
      </c>
      <c r="H1273" t="s">
        <v>193</v>
      </c>
      <c r="I1273" t="s">
        <v>193</v>
      </c>
      <c r="J1273">
        <v>17.3686774500476</v>
      </c>
      <c r="K1273">
        <v>18.1965157116451</v>
      </c>
      <c r="L1273" t="s">
        <v>193</v>
      </c>
      <c r="M1273" t="s">
        <v>193</v>
      </c>
      <c r="N1273" t="s">
        <v>193</v>
      </c>
      <c r="O1273">
        <v>20.7955119322556</v>
      </c>
      <c r="P1273" t="s">
        <v>193</v>
      </c>
    </row>
    <row r="1274" spans="1:16" ht="12.75">
      <c r="A1274" s="62" t="str">
        <f t="shared" si="20"/>
        <v>Tunisia_Health expenditure, public (% of total health expenditure)</v>
      </c>
      <c r="B1274" t="s">
        <v>529</v>
      </c>
      <c r="C1274" t="s">
        <v>202</v>
      </c>
      <c r="D1274" t="s">
        <v>424</v>
      </c>
      <c r="E1274" t="s">
        <v>425</v>
      </c>
      <c r="F1274" t="s">
        <v>193</v>
      </c>
      <c r="G1274" t="s">
        <v>193</v>
      </c>
      <c r="H1274" t="s">
        <v>193</v>
      </c>
      <c r="I1274" t="s">
        <v>193</v>
      </c>
      <c r="J1274">
        <v>51</v>
      </c>
      <c r="K1274" t="s">
        <v>193</v>
      </c>
      <c r="L1274" t="s">
        <v>193</v>
      </c>
      <c r="M1274">
        <v>50</v>
      </c>
      <c r="N1274" t="s">
        <v>193</v>
      </c>
      <c r="O1274" t="s">
        <v>193</v>
      </c>
      <c r="P1274" t="s">
        <v>193</v>
      </c>
    </row>
    <row r="1275" spans="1:16" ht="12.75">
      <c r="A1275" s="62" t="str">
        <f t="shared" si="20"/>
        <v>Tunisia_Health expenditure, public (% of GDP)</v>
      </c>
      <c r="B1275" t="s">
        <v>529</v>
      </c>
      <c r="C1275" t="s">
        <v>202</v>
      </c>
      <c r="D1275" t="s">
        <v>426</v>
      </c>
      <c r="E1275" t="s">
        <v>427</v>
      </c>
      <c r="F1275" t="s">
        <v>193</v>
      </c>
      <c r="G1275" t="s">
        <v>193</v>
      </c>
      <c r="H1275" t="s">
        <v>193</v>
      </c>
      <c r="I1275" t="s">
        <v>193</v>
      </c>
      <c r="J1275">
        <v>2.856</v>
      </c>
      <c r="K1275" t="s">
        <v>193</v>
      </c>
      <c r="L1275" t="s">
        <v>193</v>
      </c>
      <c r="M1275">
        <v>2.8</v>
      </c>
      <c r="N1275" t="s">
        <v>193</v>
      </c>
      <c r="O1275" t="s">
        <v>193</v>
      </c>
      <c r="P1275" t="s">
        <v>193</v>
      </c>
    </row>
    <row r="1276" spans="1:16" ht="12.75">
      <c r="A1276" s="62" t="str">
        <f t="shared" si="20"/>
        <v>Tunisia_Health expenditure, total (% of GDP)</v>
      </c>
      <c r="B1276" t="s">
        <v>529</v>
      </c>
      <c r="C1276" t="s">
        <v>202</v>
      </c>
      <c r="D1276" t="s">
        <v>428</v>
      </c>
      <c r="E1276" t="s">
        <v>429</v>
      </c>
      <c r="F1276" t="s">
        <v>193</v>
      </c>
      <c r="G1276" t="s">
        <v>193</v>
      </c>
      <c r="H1276" t="s">
        <v>193</v>
      </c>
      <c r="I1276" t="s">
        <v>193</v>
      </c>
      <c r="J1276">
        <v>5.6</v>
      </c>
      <c r="K1276" t="s">
        <v>193</v>
      </c>
      <c r="L1276" t="s">
        <v>193</v>
      </c>
      <c r="M1276">
        <v>5.6</v>
      </c>
      <c r="N1276" t="s">
        <v>193</v>
      </c>
      <c r="O1276" t="s">
        <v>193</v>
      </c>
      <c r="P1276" t="s">
        <v>193</v>
      </c>
    </row>
    <row r="1277" spans="1:16" ht="12.75">
      <c r="A1277" s="62" t="str">
        <f t="shared" si="20"/>
        <v>Tunisia_GDP (current LCU)</v>
      </c>
      <c r="B1277" t="s">
        <v>529</v>
      </c>
      <c r="C1277" t="s">
        <v>202</v>
      </c>
      <c r="D1277" t="s">
        <v>430</v>
      </c>
      <c r="E1277" t="s">
        <v>431</v>
      </c>
      <c r="F1277">
        <v>19066300416</v>
      </c>
      <c r="G1277">
        <v>20898199552</v>
      </c>
      <c r="H1277">
        <v>22560700416</v>
      </c>
      <c r="I1277">
        <v>24671600640</v>
      </c>
      <c r="J1277">
        <v>26650900480</v>
      </c>
      <c r="K1277">
        <v>28757299200</v>
      </c>
      <c r="L1277">
        <v>29923799040</v>
      </c>
      <c r="M1277">
        <v>32202500096</v>
      </c>
      <c r="N1277">
        <v>35035000832</v>
      </c>
      <c r="O1277">
        <v>37202300928</v>
      </c>
      <c r="P1277">
        <v>40327290880</v>
      </c>
    </row>
    <row r="1278" spans="1:16" ht="12.75">
      <c r="A1278" s="62" t="str">
        <f t="shared" si="20"/>
        <v>Tunisia_GDP (current US$)</v>
      </c>
      <c r="B1278" t="s">
        <v>529</v>
      </c>
      <c r="C1278" t="s">
        <v>202</v>
      </c>
      <c r="D1278" t="s">
        <v>432</v>
      </c>
      <c r="E1278" t="s">
        <v>433</v>
      </c>
      <c r="F1278">
        <v>19587321856</v>
      </c>
      <c r="G1278">
        <v>18897006592</v>
      </c>
      <c r="H1278">
        <v>19812681728</v>
      </c>
      <c r="I1278">
        <v>20798853120</v>
      </c>
      <c r="J1278">
        <v>19443277824</v>
      </c>
      <c r="K1278">
        <v>19988391936</v>
      </c>
      <c r="L1278">
        <v>21047412736</v>
      </c>
      <c r="M1278">
        <v>24992239616</v>
      </c>
      <c r="N1278">
        <v>28129265664</v>
      </c>
      <c r="O1278">
        <v>28683345920</v>
      </c>
      <c r="P1278">
        <v>30298490880</v>
      </c>
    </row>
    <row r="1279" spans="1:16" ht="12.75">
      <c r="A1279" s="62" t="str">
        <f t="shared" si="20"/>
        <v>Tunisia_GDP per capita, PPP (current international $)</v>
      </c>
      <c r="B1279" t="s">
        <v>529</v>
      </c>
      <c r="C1279" t="s">
        <v>202</v>
      </c>
      <c r="D1279" t="s">
        <v>434</v>
      </c>
      <c r="E1279" t="s">
        <v>435</v>
      </c>
      <c r="F1279">
        <v>5053.99991098637</v>
      </c>
      <c r="G1279">
        <v>5344.09219112942</v>
      </c>
      <c r="H1279">
        <v>5590.19079085957</v>
      </c>
      <c r="I1279">
        <v>5936.30761022793</v>
      </c>
      <c r="J1279">
        <v>6279.06168425871</v>
      </c>
      <c r="K1279">
        <v>6670.18929703027</v>
      </c>
      <c r="L1279">
        <v>6822.77851480998</v>
      </c>
      <c r="M1279">
        <v>7305.4914654574</v>
      </c>
      <c r="N1279">
        <v>7875.79597088386</v>
      </c>
      <c r="O1279">
        <v>8374.68431934844</v>
      </c>
      <c r="P1279">
        <v>8975.73453793615</v>
      </c>
    </row>
    <row r="1280" spans="1:16" ht="12.75">
      <c r="A1280" s="62" t="str">
        <f t="shared" si="20"/>
        <v>Tunisia_GDP per capita, PPP (constant 2000 international $)</v>
      </c>
      <c r="B1280" t="s">
        <v>529</v>
      </c>
      <c r="C1280" t="s">
        <v>202</v>
      </c>
      <c r="D1280" t="s">
        <v>436</v>
      </c>
      <c r="E1280" t="s">
        <v>437</v>
      </c>
      <c r="F1280">
        <v>5385.47265808487</v>
      </c>
      <c r="G1280">
        <v>5601.03395289678</v>
      </c>
      <c r="H1280">
        <v>5794.58481088314</v>
      </c>
      <c r="I1280">
        <v>6065.710528083</v>
      </c>
      <c r="J1280">
        <v>6279.06168425871</v>
      </c>
      <c r="K1280">
        <v>6513.29649551936</v>
      </c>
      <c r="L1280">
        <v>6547.70820302572</v>
      </c>
      <c r="M1280">
        <v>6871.11657285745</v>
      </c>
      <c r="N1280">
        <v>7218.10886631218</v>
      </c>
      <c r="O1280">
        <v>7450.59284034522</v>
      </c>
      <c r="P1280">
        <v>7758.1515619426</v>
      </c>
    </row>
    <row r="1281" spans="1:16" ht="12.75">
      <c r="A1281" s="62" t="str">
        <f t="shared" si="20"/>
        <v>Tunisia_GINI index</v>
      </c>
      <c r="B1281" t="s">
        <v>529</v>
      </c>
      <c r="C1281" t="s">
        <v>202</v>
      </c>
      <c r="D1281" t="s">
        <v>438</v>
      </c>
      <c r="E1281" t="s">
        <v>439</v>
      </c>
      <c r="F1281" t="s">
        <v>193</v>
      </c>
      <c r="G1281" t="s">
        <v>193</v>
      </c>
      <c r="H1281" t="s">
        <v>193</v>
      </c>
      <c r="I1281" t="s">
        <v>193</v>
      </c>
      <c r="J1281">
        <v>39.8</v>
      </c>
      <c r="K1281" t="s">
        <v>193</v>
      </c>
      <c r="L1281" t="s">
        <v>193</v>
      </c>
      <c r="M1281" t="s">
        <v>193</v>
      </c>
      <c r="N1281" t="s">
        <v>193</v>
      </c>
      <c r="O1281" t="s">
        <v>193</v>
      </c>
      <c r="P1281" t="s">
        <v>193</v>
      </c>
    </row>
    <row r="1282" spans="1:16" ht="12.75">
      <c r="A1282" s="62" t="str">
        <f t="shared" si="20"/>
        <v>Turkey_Poverty headcount ratio at national poverty line (% of population)</v>
      </c>
      <c r="B1282" t="s">
        <v>530</v>
      </c>
      <c r="C1282" t="s">
        <v>223</v>
      </c>
      <c r="D1282" t="s">
        <v>408</v>
      </c>
      <c r="E1282" t="s">
        <v>409</v>
      </c>
      <c r="F1282" t="s">
        <v>193</v>
      </c>
      <c r="G1282" t="s">
        <v>193</v>
      </c>
      <c r="H1282" t="s">
        <v>193</v>
      </c>
      <c r="I1282" t="s">
        <v>193</v>
      </c>
      <c r="J1282" t="s">
        <v>193</v>
      </c>
      <c r="K1282" t="s">
        <v>193</v>
      </c>
      <c r="L1282">
        <v>27</v>
      </c>
      <c r="M1282" t="s">
        <v>193</v>
      </c>
      <c r="N1282" t="s">
        <v>193</v>
      </c>
      <c r="O1282" t="s">
        <v>193</v>
      </c>
      <c r="P1282" t="s">
        <v>193</v>
      </c>
    </row>
    <row r="1283" spans="1:16" ht="12.75">
      <c r="A1283" s="62" t="str">
        <f t="shared" si="20"/>
        <v>Turkey_Poverty headcount ratio at $2 a day (PPP) (% of population)</v>
      </c>
      <c r="B1283" t="s">
        <v>530</v>
      </c>
      <c r="C1283" t="s">
        <v>223</v>
      </c>
      <c r="D1283" t="s">
        <v>410</v>
      </c>
      <c r="E1283" t="s">
        <v>411</v>
      </c>
      <c r="F1283" t="s">
        <v>193</v>
      </c>
      <c r="G1283" t="s">
        <v>193</v>
      </c>
      <c r="H1283" t="s">
        <v>193</v>
      </c>
      <c r="I1283" t="s">
        <v>193</v>
      </c>
      <c r="J1283">
        <v>10.32</v>
      </c>
      <c r="K1283" t="s">
        <v>193</v>
      </c>
      <c r="L1283" t="s">
        <v>193</v>
      </c>
      <c r="M1283">
        <v>18.735</v>
      </c>
      <c r="N1283" t="s">
        <v>193</v>
      </c>
      <c r="O1283" t="s">
        <v>193</v>
      </c>
      <c r="P1283" t="s">
        <v>193</v>
      </c>
    </row>
    <row r="1284" spans="1:16" ht="12.75">
      <c r="A1284" s="62" t="str">
        <f t="shared" si="20"/>
        <v>Turkey_Poverty headcount ratio at $1 a day (PPP) (% of population)</v>
      </c>
      <c r="B1284" t="s">
        <v>530</v>
      </c>
      <c r="C1284" t="s">
        <v>223</v>
      </c>
      <c r="D1284" t="s">
        <v>412</v>
      </c>
      <c r="E1284" t="s">
        <v>413</v>
      </c>
      <c r="F1284" t="s">
        <v>193</v>
      </c>
      <c r="G1284" t="s">
        <v>193</v>
      </c>
      <c r="H1284" t="s">
        <v>193</v>
      </c>
      <c r="I1284" t="s">
        <v>193</v>
      </c>
      <c r="J1284">
        <v>2</v>
      </c>
      <c r="K1284" t="s">
        <v>193</v>
      </c>
      <c r="L1284" t="s">
        <v>193</v>
      </c>
      <c r="M1284">
        <v>3.412</v>
      </c>
      <c r="N1284" t="s">
        <v>193</v>
      </c>
      <c r="O1284" t="s">
        <v>193</v>
      </c>
      <c r="P1284" t="s">
        <v>193</v>
      </c>
    </row>
    <row r="1285" spans="1:16" ht="12.75">
      <c r="A1285" s="62" t="str">
        <f t="shared" si="20"/>
        <v>Turkey_Poverty gap at $1 a day (PPP) (%)</v>
      </c>
      <c r="B1285" t="s">
        <v>530</v>
      </c>
      <c r="C1285" t="s">
        <v>223</v>
      </c>
      <c r="D1285" t="s">
        <v>414</v>
      </c>
      <c r="E1285" t="s">
        <v>415</v>
      </c>
      <c r="F1285" t="s">
        <v>193</v>
      </c>
      <c r="G1285" t="s">
        <v>193</v>
      </c>
      <c r="H1285" t="s">
        <v>193</v>
      </c>
      <c r="I1285" t="s">
        <v>193</v>
      </c>
      <c r="J1285">
        <v>0.5</v>
      </c>
      <c r="K1285" t="s">
        <v>193</v>
      </c>
      <c r="L1285" t="s">
        <v>193</v>
      </c>
      <c r="M1285">
        <v>0.79</v>
      </c>
      <c r="N1285" t="s">
        <v>193</v>
      </c>
      <c r="O1285" t="s">
        <v>193</v>
      </c>
      <c r="P1285" t="s">
        <v>193</v>
      </c>
    </row>
    <row r="1286" spans="1:16" ht="12.75">
      <c r="A1286" s="62" t="str">
        <f t="shared" si="20"/>
        <v>Turkey_Poverty gap at $2 a day (PPP) (%)</v>
      </c>
      <c r="B1286" t="s">
        <v>530</v>
      </c>
      <c r="C1286" t="s">
        <v>223</v>
      </c>
      <c r="D1286" t="s">
        <v>416</v>
      </c>
      <c r="E1286" t="s">
        <v>417</v>
      </c>
      <c r="F1286" t="s">
        <v>193</v>
      </c>
      <c r="G1286" t="s">
        <v>193</v>
      </c>
      <c r="H1286" t="s">
        <v>193</v>
      </c>
      <c r="I1286" t="s">
        <v>193</v>
      </c>
      <c r="J1286">
        <v>2.45</v>
      </c>
      <c r="K1286" t="s">
        <v>193</v>
      </c>
      <c r="L1286" t="s">
        <v>193</v>
      </c>
      <c r="M1286">
        <v>5.726</v>
      </c>
      <c r="N1286" t="s">
        <v>193</v>
      </c>
      <c r="O1286" t="s">
        <v>193</v>
      </c>
      <c r="P1286" t="s">
        <v>193</v>
      </c>
    </row>
    <row r="1287" spans="1:16" ht="12.75">
      <c r="A1287" s="62" t="str">
        <f t="shared" si="20"/>
        <v>Turkey_Population, total</v>
      </c>
      <c r="B1287" t="s">
        <v>530</v>
      </c>
      <c r="C1287" t="s">
        <v>223</v>
      </c>
      <c r="D1287" t="s">
        <v>418</v>
      </c>
      <c r="E1287" t="s">
        <v>419</v>
      </c>
      <c r="F1287">
        <v>62873000</v>
      </c>
      <c r="G1287">
        <v>64015000</v>
      </c>
      <c r="H1287">
        <v>65157000</v>
      </c>
      <c r="I1287">
        <v>66293000</v>
      </c>
      <c r="J1287">
        <v>67420000</v>
      </c>
      <c r="K1287">
        <v>68529000</v>
      </c>
      <c r="L1287">
        <v>69626000</v>
      </c>
      <c r="M1287">
        <v>70712000</v>
      </c>
      <c r="N1287">
        <v>71149750</v>
      </c>
      <c r="O1287">
        <v>72065000</v>
      </c>
      <c r="P1287">
        <v>72935322.9523644</v>
      </c>
    </row>
    <row r="1288" spans="1:16" ht="12.75">
      <c r="A1288" s="62" t="str">
        <f t="shared" si="20"/>
        <v>Turkey_Public spending on education, total (% of GDP)</v>
      </c>
      <c r="B1288" t="s">
        <v>530</v>
      </c>
      <c r="C1288" t="s">
        <v>223</v>
      </c>
      <c r="D1288" t="s">
        <v>420</v>
      </c>
      <c r="E1288" t="s">
        <v>421</v>
      </c>
      <c r="F1288" t="s">
        <v>193</v>
      </c>
      <c r="G1288" t="s">
        <v>193</v>
      </c>
      <c r="H1288" t="s">
        <v>193</v>
      </c>
      <c r="I1288">
        <v>3.99590892764846</v>
      </c>
      <c r="J1288">
        <v>3.46458980001032</v>
      </c>
      <c r="K1288">
        <v>3.6513799645352</v>
      </c>
      <c r="L1288">
        <v>3.558893103289</v>
      </c>
      <c r="M1288">
        <v>3.74221008867112</v>
      </c>
      <c r="N1288">
        <v>4</v>
      </c>
      <c r="O1288">
        <v>4</v>
      </c>
      <c r="P1288" t="s">
        <v>193</v>
      </c>
    </row>
    <row r="1289" spans="1:16" ht="12.75">
      <c r="A1289" s="62" t="str">
        <f t="shared" si="20"/>
        <v>Turkey_Public spending on education, total (% of government expenditure)</v>
      </c>
      <c r="B1289" t="s">
        <v>530</v>
      </c>
      <c r="C1289" t="s">
        <v>223</v>
      </c>
      <c r="D1289" t="s">
        <v>422</v>
      </c>
      <c r="E1289" t="s">
        <v>423</v>
      </c>
      <c r="F1289" t="s">
        <v>193</v>
      </c>
      <c r="G1289" t="s">
        <v>193</v>
      </c>
      <c r="H1289" t="s">
        <v>193</v>
      </c>
      <c r="I1289" t="s">
        <v>193</v>
      </c>
      <c r="J1289" t="s">
        <v>193</v>
      </c>
      <c r="K1289">
        <v>8.7</v>
      </c>
      <c r="L1289">
        <v>9.6</v>
      </c>
      <c r="M1289">
        <v>10.3</v>
      </c>
      <c r="N1289">
        <v>12.4</v>
      </c>
      <c r="O1289">
        <v>13.6</v>
      </c>
      <c r="P1289" t="s">
        <v>193</v>
      </c>
    </row>
    <row r="1290" spans="1:16" ht="12.75">
      <c r="A1290" s="62" t="str">
        <f t="shared" si="20"/>
        <v>Turkey_Health expenditure, public (% of total health expenditure)</v>
      </c>
      <c r="B1290" t="s">
        <v>530</v>
      </c>
      <c r="C1290" t="s">
        <v>223</v>
      </c>
      <c r="D1290" t="s">
        <v>424</v>
      </c>
      <c r="E1290" t="s">
        <v>425</v>
      </c>
      <c r="F1290" t="s">
        <v>193</v>
      </c>
      <c r="G1290" t="s">
        <v>193</v>
      </c>
      <c r="H1290" t="s">
        <v>193</v>
      </c>
      <c r="I1290" t="s">
        <v>193</v>
      </c>
      <c r="J1290">
        <v>62.9</v>
      </c>
      <c r="K1290">
        <v>68.2</v>
      </c>
      <c r="L1290">
        <v>70.4</v>
      </c>
      <c r="M1290">
        <v>71.6</v>
      </c>
      <c r="N1290">
        <v>72.3</v>
      </c>
      <c r="O1290" t="s">
        <v>193</v>
      </c>
      <c r="P1290" t="s">
        <v>193</v>
      </c>
    </row>
    <row r="1291" spans="1:16" ht="12.75">
      <c r="A1291" s="62" t="str">
        <f t="shared" si="20"/>
        <v>Turkey_Health expenditure, public (% of GDP)</v>
      </c>
      <c r="B1291" t="s">
        <v>530</v>
      </c>
      <c r="C1291" t="s">
        <v>223</v>
      </c>
      <c r="D1291" t="s">
        <v>426</v>
      </c>
      <c r="E1291" t="s">
        <v>427</v>
      </c>
      <c r="F1291" t="s">
        <v>193</v>
      </c>
      <c r="G1291" t="s">
        <v>193</v>
      </c>
      <c r="H1291" t="s">
        <v>193</v>
      </c>
      <c r="I1291" t="s">
        <v>193</v>
      </c>
      <c r="J1291">
        <v>4.164270348</v>
      </c>
      <c r="K1291">
        <v>5.0982061851</v>
      </c>
      <c r="L1291">
        <v>5.2054201881</v>
      </c>
      <c r="M1291">
        <v>5.4250848516</v>
      </c>
      <c r="N1291">
        <v>5.5818142567</v>
      </c>
      <c r="O1291">
        <v>5.2</v>
      </c>
      <c r="P1291" t="s">
        <v>193</v>
      </c>
    </row>
    <row r="1292" spans="1:16" ht="12.75">
      <c r="A1292" s="62" t="str">
        <f t="shared" si="20"/>
        <v>Turkey_Health expenditure, total (% of GDP)</v>
      </c>
      <c r="B1292" t="s">
        <v>530</v>
      </c>
      <c r="C1292" t="s">
        <v>223</v>
      </c>
      <c r="D1292" t="s">
        <v>428</v>
      </c>
      <c r="E1292" t="s">
        <v>429</v>
      </c>
      <c r="F1292" t="s">
        <v>193</v>
      </c>
      <c r="G1292" t="s">
        <v>193</v>
      </c>
      <c r="H1292" t="s">
        <v>193</v>
      </c>
      <c r="I1292" t="s">
        <v>193</v>
      </c>
      <c r="J1292">
        <v>6.62046160253474</v>
      </c>
      <c r="K1292">
        <v>7.47537563790605</v>
      </c>
      <c r="L1292">
        <v>7.39406276718433</v>
      </c>
      <c r="M1292">
        <v>7.57693415024093</v>
      </c>
      <c r="N1292">
        <v>7.72035166904505</v>
      </c>
      <c r="O1292" t="s">
        <v>193</v>
      </c>
      <c r="P1292" t="s">
        <v>193</v>
      </c>
    </row>
    <row r="1293" spans="1:16" ht="12.75">
      <c r="A1293" s="62" t="str">
        <f t="shared" si="20"/>
        <v>Turkey_GDP (current LCU)</v>
      </c>
      <c r="B1293" t="s">
        <v>530</v>
      </c>
      <c r="C1293" t="s">
        <v>223</v>
      </c>
      <c r="D1293" t="s">
        <v>430</v>
      </c>
      <c r="E1293" t="s">
        <v>431</v>
      </c>
      <c r="F1293" s="61">
        <v>14772110517862400</v>
      </c>
      <c r="G1293" s="61">
        <v>28835882144366600</v>
      </c>
      <c r="H1293" s="61">
        <v>52224946893488100</v>
      </c>
      <c r="I1293" s="61">
        <v>77415273681911800</v>
      </c>
      <c r="J1293" s="61">
        <v>1.24583472109978E+17</v>
      </c>
      <c r="K1293" s="61">
        <v>1.78412443259634E+17</v>
      </c>
      <c r="L1293" s="61">
        <v>2.7757404689426E+17</v>
      </c>
      <c r="M1293" s="61">
        <v>3.59762919027638E+17</v>
      </c>
      <c r="N1293" s="61">
        <v>4.30511475753222E+17</v>
      </c>
      <c r="O1293" s="61">
        <v>4.87202329641091E+17</v>
      </c>
      <c r="P1293" s="61">
        <v>5.76322213838324E+17</v>
      </c>
    </row>
    <row r="1294" spans="1:16" ht="12.75">
      <c r="A1294" s="62" t="str">
        <f t="shared" si="20"/>
        <v>Turkey_GDP (current US$)</v>
      </c>
      <c r="B1294" t="s">
        <v>530</v>
      </c>
      <c r="C1294" t="s">
        <v>223</v>
      </c>
      <c r="D1294" t="s">
        <v>432</v>
      </c>
      <c r="E1294" t="s">
        <v>433</v>
      </c>
      <c r="F1294">
        <v>181051097088</v>
      </c>
      <c r="G1294">
        <v>189164568576</v>
      </c>
      <c r="H1294">
        <v>199633846272</v>
      </c>
      <c r="I1294">
        <v>183823433728</v>
      </c>
      <c r="J1294">
        <v>199267319808</v>
      </c>
      <c r="K1294">
        <v>145243602944</v>
      </c>
      <c r="L1294">
        <v>183888297984</v>
      </c>
      <c r="M1294">
        <v>240375840768</v>
      </c>
      <c r="N1294">
        <v>302678310912</v>
      </c>
      <c r="O1294">
        <v>363369627648</v>
      </c>
      <c r="P1294">
        <v>402709938176</v>
      </c>
    </row>
    <row r="1295" spans="1:16" ht="12.75">
      <c r="A1295" s="62" t="str">
        <f t="shared" si="20"/>
        <v>Turkey_GDP per capita, PPP (current international $)</v>
      </c>
      <c r="B1295" t="s">
        <v>530</v>
      </c>
      <c r="C1295" t="s">
        <v>223</v>
      </c>
      <c r="D1295" t="s">
        <v>434</v>
      </c>
      <c r="E1295" t="s">
        <v>435</v>
      </c>
      <c r="F1295">
        <v>5742.13815311123</v>
      </c>
      <c r="G1295">
        <v>6165.619729725</v>
      </c>
      <c r="H1295">
        <v>6314.22980366078</v>
      </c>
      <c r="I1295">
        <v>5999.24110057856</v>
      </c>
      <c r="J1295">
        <v>6471.11900383803</v>
      </c>
      <c r="K1295">
        <v>6031.14141950817</v>
      </c>
      <c r="L1295">
        <v>6519.64509482556</v>
      </c>
      <c r="M1295">
        <v>6929.71229879664</v>
      </c>
      <c r="N1295">
        <v>7699.04051666698</v>
      </c>
      <c r="O1295">
        <v>8408.43480102818</v>
      </c>
      <c r="P1295">
        <v>9072.91995428059</v>
      </c>
    </row>
    <row r="1296" spans="1:16" ht="12.75">
      <c r="A1296" s="62" t="str">
        <f t="shared" si="20"/>
        <v>Turkey_GDP per capita, PPP (constant 2000 international $)</v>
      </c>
      <c r="B1296" t="s">
        <v>530</v>
      </c>
      <c r="C1296" t="s">
        <v>223</v>
      </c>
      <c r="D1296" t="s">
        <v>436</v>
      </c>
      <c r="E1296" t="s">
        <v>437</v>
      </c>
      <c r="F1296">
        <v>6118.74328594738</v>
      </c>
      <c r="G1296">
        <v>6462.06019876719</v>
      </c>
      <c r="H1296">
        <v>6545.09684580773</v>
      </c>
      <c r="I1296">
        <v>6130.01587747749</v>
      </c>
      <c r="J1296">
        <v>6471.11900383803</v>
      </c>
      <c r="K1296">
        <v>5889.27997727948</v>
      </c>
      <c r="L1296">
        <v>6256.79605098461</v>
      </c>
      <c r="M1296">
        <v>6517.68074010261</v>
      </c>
      <c r="N1296">
        <v>7056.11379737329</v>
      </c>
      <c r="O1296">
        <v>7480.61917776552</v>
      </c>
      <c r="P1296">
        <v>7842.15351035406</v>
      </c>
    </row>
    <row r="1297" spans="1:16" ht="12.75">
      <c r="A1297" s="62" t="str">
        <f t="shared" si="20"/>
        <v>Turkey_GINI index</v>
      </c>
      <c r="B1297" t="s">
        <v>530</v>
      </c>
      <c r="C1297" t="s">
        <v>223</v>
      </c>
      <c r="D1297" t="s">
        <v>438</v>
      </c>
      <c r="E1297" t="s">
        <v>439</v>
      </c>
      <c r="F1297" t="s">
        <v>193</v>
      </c>
      <c r="G1297" t="s">
        <v>193</v>
      </c>
      <c r="H1297" t="s">
        <v>193</v>
      </c>
      <c r="I1297" t="s">
        <v>193</v>
      </c>
      <c r="J1297">
        <v>40.03</v>
      </c>
      <c r="K1297" t="s">
        <v>193</v>
      </c>
      <c r="L1297" t="s">
        <v>193</v>
      </c>
      <c r="M1297">
        <v>43.638</v>
      </c>
      <c r="N1297" t="s">
        <v>193</v>
      </c>
      <c r="O1297" t="s">
        <v>193</v>
      </c>
      <c r="P1297" t="s">
        <v>193</v>
      </c>
    </row>
    <row r="1298" spans="1:16" ht="12.75">
      <c r="A1298" s="62" t="str">
        <f t="shared" si="20"/>
        <v>Uruguay_Poverty headcount ratio at national poverty line (% of population)</v>
      </c>
      <c r="B1298" t="s">
        <v>531</v>
      </c>
      <c r="C1298" t="s">
        <v>257</v>
      </c>
      <c r="D1298" t="s">
        <v>408</v>
      </c>
      <c r="E1298" t="s">
        <v>409</v>
      </c>
      <c r="F1298" t="s">
        <v>193</v>
      </c>
      <c r="G1298" t="s">
        <v>193</v>
      </c>
      <c r="H1298" t="s">
        <v>193</v>
      </c>
      <c r="I1298" t="s">
        <v>193</v>
      </c>
      <c r="J1298" t="s">
        <v>193</v>
      </c>
      <c r="K1298" t="s">
        <v>193</v>
      </c>
      <c r="L1298" t="s">
        <v>193</v>
      </c>
      <c r="M1298" t="s">
        <v>193</v>
      </c>
      <c r="N1298" t="s">
        <v>193</v>
      </c>
      <c r="O1298" t="s">
        <v>193</v>
      </c>
      <c r="P1298" t="s">
        <v>193</v>
      </c>
    </row>
    <row r="1299" spans="1:16" ht="12.75">
      <c r="A1299" s="62" t="str">
        <f t="shared" si="20"/>
        <v>Uruguay_Poverty headcount ratio at $2 a day (PPP) (% of population)</v>
      </c>
      <c r="B1299" t="s">
        <v>531</v>
      </c>
      <c r="C1299" t="s">
        <v>257</v>
      </c>
      <c r="D1299" t="s">
        <v>410</v>
      </c>
      <c r="E1299" t="s">
        <v>411</v>
      </c>
      <c r="F1299">
        <v>4.55</v>
      </c>
      <c r="G1299" t="s">
        <v>193</v>
      </c>
      <c r="H1299">
        <v>4.56</v>
      </c>
      <c r="I1299" t="s">
        <v>193</v>
      </c>
      <c r="J1299">
        <v>3.85</v>
      </c>
      <c r="K1299" t="s">
        <v>193</v>
      </c>
      <c r="L1299" t="s">
        <v>193</v>
      </c>
      <c r="M1299">
        <v>5.73</v>
      </c>
      <c r="N1299" t="s">
        <v>193</v>
      </c>
      <c r="O1299" t="s">
        <v>193</v>
      </c>
      <c r="P1299" t="s">
        <v>193</v>
      </c>
    </row>
    <row r="1300" spans="1:16" ht="12.75">
      <c r="A1300" s="62" t="str">
        <f t="shared" si="20"/>
        <v>Uruguay_Poverty headcount ratio at $1 a day (PPP) (% of population)</v>
      </c>
      <c r="B1300" t="s">
        <v>531</v>
      </c>
      <c r="C1300" t="s">
        <v>257</v>
      </c>
      <c r="D1300" t="s">
        <v>412</v>
      </c>
      <c r="E1300" t="s">
        <v>413</v>
      </c>
      <c r="F1300">
        <v>2</v>
      </c>
      <c r="G1300" t="s">
        <v>193</v>
      </c>
      <c r="H1300">
        <v>2</v>
      </c>
      <c r="I1300" t="s">
        <v>193</v>
      </c>
      <c r="J1300">
        <v>2</v>
      </c>
      <c r="K1300" t="s">
        <v>193</v>
      </c>
      <c r="L1300" t="s">
        <v>193</v>
      </c>
      <c r="M1300">
        <v>2</v>
      </c>
      <c r="N1300" t="s">
        <v>193</v>
      </c>
      <c r="O1300" t="s">
        <v>193</v>
      </c>
      <c r="P1300" t="s">
        <v>193</v>
      </c>
    </row>
    <row r="1301" spans="1:16" ht="12.75">
      <c r="A1301" s="62" t="str">
        <f t="shared" si="20"/>
        <v>Uruguay_Poverty gap at $1 a day (PPP) (%)</v>
      </c>
      <c r="B1301" t="s">
        <v>531</v>
      </c>
      <c r="C1301" t="s">
        <v>257</v>
      </c>
      <c r="D1301" t="s">
        <v>414</v>
      </c>
      <c r="E1301" t="s">
        <v>415</v>
      </c>
      <c r="F1301">
        <v>0.5</v>
      </c>
      <c r="G1301" t="s">
        <v>193</v>
      </c>
      <c r="H1301">
        <v>0.5</v>
      </c>
      <c r="I1301" t="s">
        <v>193</v>
      </c>
      <c r="J1301">
        <v>0.5</v>
      </c>
      <c r="K1301" t="s">
        <v>193</v>
      </c>
      <c r="L1301" t="s">
        <v>193</v>
      </c>
      <c r="M1301">
        <v>0.5</v>
      </c>
      <c r="N1301" t="s">
        <v>193</v>
      </c>
      <c r="O1301" t="s">
        <v>193</v>
      </c>
      <c r="P1301" t="s">
        <v>193</v>
      </c>
    </row>
    <row r="1302" spans="1:16" ht="12.75">
      <c r="A1302" s="62" t="str">
        <f t="shared" si="20"/>
        <v>Uruguay_Poverty gap at $2 a day (PPP) (%)</v>
      </c>
      <c r="B1302" t="s">
        <v>531</v>
      </c>
      <c r="C1302" t="s">
        <v>257</v>
      </c>
      <c r="D1302" t="s">
        <v>416</v>
      </c>
      <c r="E1302" t="s">
        <v>417</v>
      </c>
      <c r="F1302">
        <v>1.17</v>
      </c>
      <c r="G1302" t="s">
        <v>193</v>
      </c>
      <c r="H1302">
        <v>1.22</v>
      </c>
      <c r="I1302" t="s">
        <v>193</v>
      </c>
      <c r="J1302">
        <v>0.78</v>
      </c>
      <c r="K1302" t="s">
        <v>193</v>
      </c>
      <c r="L1302" t="s">
        <v>193</v>
      </c>
      <c r="M1302">
        <v>1.55</v>
      </c>
      <c r="N1302" t="s">
        <v>193</v>
      </c>
      <c r="O1302" t="s">
        <v>193</v>
      </c>
      <c r="P1302" t="s">
        <v>193</v>
      </c>
    </row>
    <row r="1303" spans="1:16" ht="12.75">
      <c r="A1303" s="62" t="str">
        <f t="shared" si="20"/>
        <v>Uruguay_Population, total</v>
      </c>
      <c r="B1303" t="s">
        <v>531</v>
      </c>
      <c r="C1303" t="s">
        <v>257</v>
      </c>
      <c r="D1303" t="s">
        <v>418</v>
      </c>
      <c r="E1303" t="s">
        <v>419</v>
      </c>
      <c r="F1303">
        <v>3235549</v>
      </c>
      <c r="G1303">
        <v>3256181.75309721</v>
      </c>
      <c r="H1303">
        <v>3273776.89663529</v>
      </c>
      <c r="I1303">
        <v>3288819.05812235</v>
      </c>
      <c r="J1303">
        <v>3300847.40789493</v>
      </c>
      <c r="K1303">
        <v>3308356.42478972</v>
      </c>
      <c r="L1303">
        <v>3308526.67574176</v>
      </c>
      <c r="M1303">
        <v>3303539.56833953</v>
      </c>
      <c r="N1303">
        <v>3301732</v>
      </c>
      <c r="O1303">
        <v>3305723</v>
      </c>
      <c r="P1303">
        <v>3313000</v>
      </c>
    </row>
    <row r="1304" spans="1:16" ht="12.75">
      <c r="A1304" s="62" t="str">
        <f t="shared" si="20"/>
        <v>Uruguay_Public spending on education, total (% of GDP)</v>
      </c>
      <c r="B1304" t="s">
        <v>531</v>
      </c>
      <c r="C1304" t="s">
        <v>257</v>
      </c>
      <c r="D1304" t="s">
        <v>420</v>
      </c>
      <c r="E1304" t="s">
        <v>421</v>
      </c>
      <c r="F1304" t="s">
        <v>193</v>
      </c>
      <c r="G1304" t="s">
        <v>193</v>
      </c>
      <c r="H1304" t="s">
        <v>193</v>
      </c>
      <c r="I1304">
        <v>2.77924128478552</v>
      </c>
      <c r="J1304">
        <v>2.75274902293221</v>
      </c>
      <c r="K1304">
        <v>3.1537981189415</v>
      </c>
      <c r="L1304">
        <v>2.57372791622505</v>
      </c>
      <c r="M1304">
        <v>2.22783681390206</v>
      </c>
      <c r="N1304">
        <v>2.5887174483891</v>
      </c>
      <c r="O1304" t="s">
        <v>193</v>
      </c>
      <c r="P1304" t="s">
        <v>193</v>
      </c>
    </row>
    <row r="1305" spans="1:16" ht="12.75">
      <c r="A1305" s="62" t="str">
        <f t="shared" si="20"/>
        <v>Uruguay_Public spending on education, total (% of government expenditure)</v>
      </c>
      <c r="B1305" t="s">
        <v>531</v>
      </c>
      <c r="C1305" t="s">
        <v>257</v>
      </c>
      <c r="D1305" t="s">
        <v>422</v>
      </c>
      <c r="E1305" t="s">
        <v>423</v>
      </c>
      <c r="F1305" t="s">
        <v>193</v>
      </c>
      <c r="G1305" t="s">
        <v>193</v>
      </c>
      <c r="H1305" t="s">
        <v>193</v>
      </c>
      <c r="I1305" t="s">
        <v>193</v>
      </c>
      <c r="J1305">
        <v>11.8406332225511</v>
      </c>
      <c r="K1305">
        <v>12.7720954499235</v>
      </c>
      <c r="L1305">
        <v>9.63038308465066</v>
      </c>
      <c r="M1305">
        <v>7.86187170859312</v>
      </c>
      <c r="N1305" t="s">
        <v>193</v>
      </c>
      <c r="O1305" t="s">
        <v>193</v>
      </c>
      <c r="P1305" t="s">
        <v>193</v>
      </c>
    </row>
    <row r="1306" spans="1:16" ht="12.75">
      <c r="A1306" s="62" t="str">
        <f t="shared" si="20"/>
        <v>Uruguay_Health expenditure, public (% of total health expenditure)</v>
      </c>
      <c r="B1306" t="s">
        <v>531</v>
      </c>
      <c r="C1306" t="s">
        <v>257</v>
      </c>
      <c r="D1306" t="s">
        <v>424</v>
      </c>
      <c r="E1306" t="s">
        <v>425</v>
      </c>
      <c r="F1306" t="s">
        <v>193</v>
      </c>
      <c r="G1306" t="s">
        <v>193</v>
      </c>
      <c r="H1306" t="s">
        <v>193</v>
      </c>
      <c r="I1306" t="s">
        <v>193</v>
      </c>
      <c r="J1306">
        <v>33.4</v>
      </c>
      <c r="K1306">
        <v>33.8</v>
      </c>
      <c r="L1306">
        <v>31.3</v>
      </c>
      <c r="M1306">
        <v>27.2</v>
      </c>
      <c r="N1306">
        <v>43.5</v>
      </c>
      <c r="O1306" t="s">
        <v>193</v>
      </c>
      <c r="P1306" t="s">
        <v>193</v>
      </c>
    </row>
    <row r="1307" spans="1:16" ht="12.75">
      <c r="A1307" s="62" t="str">
        <f t="shared" si="20"/>
        <v>Uruguay_Health expenditure, public (% of GDP)</v>
      </c>
      <c r="B1307" t="s">
        <v>531</v>
      </c>
      <c r="C1307" t="s">
        <v>257</v>
      </c>
      <c r="D1307" t="s">
        <v>426</v>
      </c>
      <c r="E1307" t="s">
        <v>427</v>
      </c>
      <c r="F1307" t="s">
        <v>193</v>
      </c>
      <c r="G1307" t="s">
        <v>193</v>
      </c>
      <c r="H1307" t="s">
        <v>193</v>
      </c>
      <c r="I1307" t="s">
        <v>193</v>
      </c>
      <c r="J1307">
        <v>3.507</v>
      </c>
      <c r="K1307">
        <v>3.6504</v>
      </c>
      <c r="L1307">
        <v>3.2239</v>
      </c>
      <c r="M1307">
        <v>2.6656</v>
      </c>
      <c r="N1307">
        <v>3.567</v>
      </c>
      <c r="O1307" t="s">
        <v>193</v>
      </c>
      <c r="P1307" t="s">
        <v>193</v>
      </c>
    </row>
    <row r="1308" spans="1:16" ht="12.75">
      <c r="A1308" s="62" t="str">
        <f t="shared" si="20"/>
        <v>Uruguay_Health expenditure, total (% of GDP)</v>
      </c>
      <c r="B1308" t="s">
        <v>531</v>
      </c>
      <c r="C1308" t="s">
        <v>257</v>
      </c>
      <c r="D1308" t="s">
        <v>428</v>
      </c>
      <c r="E1308" t="s">
        <v>429</v>
      </c>
      <c r="F1308" t="s">
        <v>193</v>
      </c>
      <c r="G1308" t="s">
        <v>193</v>
      </c>
      <c r="H1308" t="s">
        <v>193</v>
      </c>
      <c r="I1308" t="s">
        <v>193</v>
      </c>
      <c r="J1308">
        <v>10.5</v>
      </c>
      <c r="K1308">
        <v>10.8</v>
      </c>
      <c r="L1308">
        <v>10.3</v>
      </c>
      <c r="M1308">
        <v>9.8</v>
      </c>
      <c r="N1308">
        <v>8.2</v>
      </c>
      <c r="O1308" t="s">
        <v>193</v>
      </c>
      <c r="P1308" t="s">
        <v>193</v>
      </c>
    </row>
    <row r="1309" spans="1:16" ht="12.75">
      <c r="A1309" s="62" t="str">
        <f t="shared" si="20"/>
        <v>Uruguay_GDP (current LCU)</v>
      </c>
      <c r="B1309" t="s">
        <v>531</v>
      </c>
      <c r="C1309" t="s">
        <v>257</v>
      </c>
      <c r="D1309" t="s">
        <v>430</v>
      </c>
      <c r="E1309" t="s">
        <v>431</v>
      </c>
      <c r="F1309">
        <v>163545808896</v>
      </c>
      <c r="G1309">
        <v>204925566976</v>
      </c>
      <c r="H1309">
        <v>234266804224</v>
      </c>
      <c r="I1309">
        <v>237143031808</v>
      </c>
      <c r="J1309">
        <v>243027066880</v>
      </c>
      <c r="K1309">
        <v>247211393024</v>
      </c>
      <c r="L1309">
        <v>260966694912</v>
      </c>
      <c r="M1309">
        <v>315677671424</v>
      </c>
      <c r="N1309">
        <v>379352711168</v>
      </c>
      <c r="O1309">
        <v>406705438720</v>
      </c>
      <c r="P1309">
        <v>464801890304</v>
      </c>
    </row>
    <row r="1310" spans="1:16" ht="12.75">
      <c r="A1310" s="62" t="str">
        <f t="shared" si="20"/>
        <v>Uruguay_GDP (current US$)</v>
      </c>
      <c r="B1310" t="s">
        <v>531</v>
      </c>
      <c r="C1310" t="s">
        <v>257</v>
      </c>
      <c r="D1310" t="s">
        <v>432</v>
      </c>
      <c r="E1310" t="s">
        <v>433</v>
      </c>
      <c r="F1310">
        <v>20265908224</v>
      </c>
      <c r="G1310">
        <v>21772044288</v>
      </c>
      <c r="H1310">
        <v>22084405248</v>
      </c>
      <c r="I1310">
        <v>21188771840</v>
      </c>
      <c r="J1310">
        <v>20670509056</v>
      </c>
      <c r="K1310">
        <v>18560806912</v>
      </c>
      <c r="L1310">
        <v>12276741120</v>
      </c>
      <c r="M1310">
        <v>11190672384</v>
      </c>
      <c r="N1310">
        <v>13216160768</v>
      </c>
      <c r="O1310">
        <v>16613783552</v>
      </c>
      <c r="P1310">
        <v>19307696128</v>
      </c>
    </row>
    <row r="1311" spans="1:16" ht="12.75">
      <c r="A1311" s="62" t="str">
        <f t="shared" si="20"/>
        <v>Uruguay_GDP per capita, PPP (current international $)</v>
      </c>
      <c r="B1311" t="s">
        <v>531</v>
      </c>
      <c r="C1311" t="s">
        <v>257</v>
      </c>
      <c r="D1311" t="s">
        <v>434</v>
      </c>
      <c r="E1311" t="s">
        <v>435</v>
      </c>
      <c r="F1311">
        <v>8076.47150013265</v>
      </c>
      <c r="G1311">
        <v>8571.20603129408</v>
      </c>
      <c r="H1311">
        <v>9011.05434912106</v>
      </c>
      <c r="I1311">
        <v>8840.43088585229</v>
      </c>
      <c r="J1311">
        <v>8870.507599009</v>
      </c>
      <c r="K1311">
        <v>8756.7419748094</v>
      </c>
      <c r="L1311">
        <v>7926.64459140625</v>
      </c>
      <c r="M1311">
        <v>8276.35419444543</v>
      </c>
      <c r="N1311">
        <v>9502.65966842126</v>
      </c>
      <c r="O1311">
        <v>10419.1355445793</v>
      </c>
      <c r="P1311">
        <v>11451.1665112876</v>
      </c>
    </row>
    <row r="1312" spans="1:16" ht="12.75">
      <c r="A1312" s="62" t="str">
        <f t="shared" si="20"/>
        <v>Uruguay_GDP per capita, PPP (constant 2000 international $)</v>
      </c>
      <c r="B1312" t="s">
        <v>531</v>
      </c>
      <c r="C1312" t="s">
        <v>257</v>
      </c>
      <c r="D1312" t="s">
        <v>436</v>
      </c>
      <c r="E1312" t="s">
        <v>437</v>
      </c>
      <c r="F1312">
        <v>8606.17673206037</v>
      </c>
      <c r="G1312">
        <v>8983.30610355842</v>
      </c>
      <c r="H1312">
        <v>9340.52532640491</v>
      </c>
      <c r="I1312">
        <v>9033.1394897249</v>
      </c>
      <c r="J1312">
        <v>8870.507599009</v>
      </c>
      <c r="K1312">
        <v>8550.77034201816</v>
      </c>
      <c r="L1312">
        <v>7607.07030148488</v>
      </c>
      <c r="M1312">
        <v>7784.25308374948</v>
      </c>
      <c r="N1312">
        <v>8709.11743520965</v>
      </c>
      <c r="O1312">
        <v>9269.45228391232</v>
      </c>
      <c r="P1312">
        <v>9897.78440751862</v>
      </c>
    </row>
    <row r="1313" spans="1:16" ht="12.75">
      <c r="A1313" s="62" t="str">
        <f t="shared" si="20"/>
        <v>Uruguay_GINI index</v>
      </c>
      <c r="B1313" t="s">
        <v>531</v>
      </c>
      <c r="C1313" t="s">
        <v>257</v>
      </c>
      <c r="D1313" t="s">
        <v>438</v>
      </c>
      <c r="E1313" t="s">
        <v>439</v>
      </c>
      <c r="F1313">
        <v>43.76</v>
      </c>
      <c r="G1313" t="s">
        <v>193</v>
      </c>
      <c r="H1313">
        <v>45.18</v>
      </c>
      <c r="I1313" t="s">
        <v>193</v>
      </c>
      <c r="J1313">
        <v>44.56</v>
      </c>
      <c r="K1313" t="s">
        <v>193</v>
      </c>
      <c r="L1313" t="s">
        <v>193</v>
      </c>
      <c r="M1313">
        <v>44.855</v>
      </c>
      <c r="N1313" t="s">
        <v>193</v>
      </c>
      <c r="O1313" t="s">
        <v>193</v>
      </c>
      <c r="P1313" t="s">
        <v>193</v>
      </c>
    </row>
    <row r="1314" spans="1:16" ht="12.75">
      <c r="A1314" s="62" t="str">
        <f t="shared" si="20"/>
        <v>Uzbekistan_Poverty headcount ratio at national poverty line (% of population)</v>
      </c>
      <c r="B1314" t="s">
        <v>532</v>
      </c>
      <c r="C1314" t="s">
        <v>225</v>
      </c>
      <c r="D1314" t="s">
        <v>408</v>
      </c>
      <c r="E1314" t="s">
        <v>409</v>
      </c>
      <c r="F1314" t="s">
        <v>193</v>
      </c>
      <c r="G1314" t="s">
        <v>193</v>
      </c>
      <c r="H1314" t="s">
        <v>193</v>
      </c>
      <c r="I1314" t="s">
        <v>193</v>
      </c>
      <c r="J1314">
        <v>27.5</v>
      </c>
      <c r="K1314" t="s">
        <v>193</v>
      </c>
      <c r="L1314" t="s">
        <v>193</v>
      </c>
      <c r="M1314" t="s">
        <v>193</v>
      </c>
      <c r="N1314" t="s">
        <v>193</v>
      </c>
      <c r="O1314" t="s">
        <v>193</v>
      </c>
      <c r="P1314" t="s">
        <v>193</v>
      </c>
    </row>
    <row r="1315" spans="1:16" ht="12.75">
      <c r="A1315" s="62" t="str">
        <f aca="true" t="shared" si="21" ref="A1315:A1378">C1315&amp;"_"&amp;E1315</f>
        <v>Uzbekistan_Poverty headcount ratio at $2 a day (PPP) (% of population)</v>
      </c>
      <c r="B1315" t="s">
        <v>532</v>
      </c>
      <c r="C1315" t="s">
        <v>225</v>
      </c>
      <c r="D1315" t="s">
        <v>410</v>
      </c>
      <c r="E1315" t="s">
        <v>411</v>
      </c>
      <c r="F1315" t="s">
        <v>193</v>
      </c>
      <c r="G1315" t="s">
        <v>193</v>
      </c>
      <c r="H1315">
        <v>44.17</v>
      </c>
      <c r="I1315" t="s">
        <v>193</v>
      </c>
      <c r="J1315" t="s">
        <v>193</v>
      </c>
      <c r="K1315" t="s">
        <v>193</v>
      </c>
      <c r="L1315" t="s">
        <v>193</v>
      </c>
      <c r="M1315">
        <v>2</v>
      </c>
      <c r="N1315" t="s">
        <v>193</v>
      </c>
      <c r="O1315" t="s">
        <v>193</v>
      </c>
      <c r="P1315" t="s">
        <v>193</v>
      </c>
    </row>
    <row r="1316" spans="1:16" ht="12.75">
      <c r="A1316" s="62" t="str">
        <f t="shared" si="21"/>
        <v>Uzbekistan_Poverty headcount ratio at $1 a day (PPP) (% of population)</v>
      </c>
      <c r="B1316" t="s">
        <v>532</v>
      </c>
      <c r="C1316" t="s">
        <v>225</v>
      </c>
      <c r="D1316" t="s">
        <v>412</v>
      </c>
      <c r="E1316" t="s">
        <v>413</v>
      </c>
      <c r="F1316" t="s">
        <v>193</v>
      </c>
      <c r="G1316" t="s">
        <v>193</v>
      </c>
      <c r="H1316">
        <v>19.16</v>
      </c>
      <c r="I1316" t="s">
        <v>193</v>
      </c>
      <c r="J1316" t="s">
        <v>193</v>
      </c>
      <c r="K1316" t="s">
        <v>193</v>
      </c>
      <c r="L1316" t="s">
        <v>193</v>
      </c>
      <c r="M1316">
        <v>2</v>
      </c>
      <c r="N1316" t="s">
        <v>193</v>
      </c>
      <c r="O1316" t="s">
        <v>193</v>
      </c>
      <c r="P1316" t="s">
        <v>193</v>
      </c>
    </row>
    <row r="1317" spans="1:16" ht="12.75">
      <c r="A1317" s="62" t="str">
        <f t="shared" si="21"/>
        <v>Uzbekistan_Poverty gap at $1 a day (PPP) (%)</v>
      </c>
      <c r="B1317" t="s">
        <v>532</v>
      </c>
      <c r="C1317" t="s">
        <v>225</v>
      </c>
      <c r="D1317" t="s">
        <v>414</v>
      </c>
      <c r="E1317" t="s">
        <v>415</v>
      </c>
      <c r="F1317" t="s">
        <v>193</v>
      </c>
      <c r="G1317" t="s">
        <v>193</v>
      </c>
      <c r="H1317">
        <v>8.12</v>
      </c>
      <c r="I1317" t="s">
        <v>193</v>
      </c>
      <c r="J1317" t="s">
        <v>193</v>
      </c>
      <c r="K1317" t="s">
        <v>193</v>
      </c>
      <c r="L1317" t="s">
        <v>193</v>
      </c>
      <c r="M1317">
        <v>0.5</v>
      </c>
      <c r="N1317" t="s">
        <v>193</v>
      </c>
      <c r="O1317" t="s">
        <v>193</v>
      </c>
      <c r="P1317" t="s">
        <v>193</v>
      </c>
    </row>
    <row r="1318" spans="1:16" ht="12.75">
      <c r="A1318" s="62" t="str">
        <f t="shared" si="21"/>
        <v>Uzbekistan_Poverty gap at $2 a day (PPP) (%)</v>
      </c>
      <c r="B1318" t="s">
        <v>532</v>
      </c>
      <c r="C1318" t="s">
        <v>225</v>
      </c>
      <c r="D1318" t="s">
        <v>416</v>
      </c>
      <c r="E1318" t="s">
        <v>417</v>
      </c>
      <c r="F1318" t="s">
        <v>193</v>
      </c>
      <c r="G1318" t="s">
        <v>193</v>
      </c>
      <c r="H1318">
        <v>19.9</v>
      </c>
      <c r="I1318" t="s">
        <v>193</v>
      </c>
      <c r="J1318" t="s">
        <v>193</v>
      </c>
      <c r="K1318" t="s">
        <v>193</v>
      </c>
      <c r="L1318" t="s">
        <v>193</v>
      </c>
      <c r="M1318">
        <v>0.57</v>
      </c>
      <c r="N1318" t="s">
        <v>193</v>
      </c>
      <c r="O1318" t="s">
        <v>193</v>
      </c>
      <c r="P1318" t="s">
        <v>193</v>
      </c>
    </row>
    <row r="1319" spans="1:16" ht="12.75">
      <c r="A1319" s="62" t="str">
        <f t="shared" si="21"/>
        <v>Uzbekistan_Population, total</v>
      </c>
      <c r="B1319" t="s">
        <v>532</v>
      </c>
      <c r="C1319" t="s">
        <v>225</v>
      </c>
      <c r="D1319" t="s">
        <v>418</v>
      </c>
      <c r="E1319" t="s">
        <v>419</v>
      </c>
      <c r="F1319">
        <v>23225000</v>
      </c>
      <c r="G1319">
        <v>23667000</v>
      </c>
      <c r="H1319">
        <v>24051000</v>
      </c>
      <c r="I1319">
        <v>24400000</v>
      </c>
      <c r="J1319">
        <v>24650000</v>
      </c>
      <c r="K1319">
        <v>24967000</v>
      </c>
      <c r="L1319">
        <v>25271800</v>
      </c>
      <c r="M1319">
        <v>25567700</v>
      </c>
      <c r="N1319">
        <v>25864386</v>
      </c>
      <c r="O1319">
        <v>26167369</v>
      </c>
      <c r="P1319">
        <v>26540312.0757327</v>
      </c>
    </row>
    <row r="1320" spans="1:16" ht="12.75">
      <c r="A1320" s="62" t="str">
        <f t="shared" si="21"/>
        <v>Uzbekistan_Public spending on education, total (% of GDP)</v>
      </c>
      <c r="B1320" t="s">
        <v>532</v>
      </c>
      <c r="C1320" t="s">
        <v>225</v>
      </c>
      <c r="D1320" t="s">
        <v>420</v>
      </c>
      <c r="E1320" t="s">
        <v>421</v>
      </c>
      <c r="F1320" t="s">
        <v>193</v>
      </c>
      <c r="G1320" t="s">
        <v>193</v>
      </c>
      <c r="H1320" t="s">
        <v>193</v>
      </c>
      <c r="I1320" t="s">
        <v>193</v>
      </c>
      <c r="J1320" t="s">
        <v>193</v>
      </c>
      <c r="K1320" t="s">
        <v>193</v>
      </c>
      <c r="L1320" t="s">
        <v>193</v>
      </c>
      <c r="M1320" t="s">
        <v>193</v>
      </c>
      <c r="N1320" t="s">
        <v>193</v>
      </c>
      <c r="O1320" t="s">
        <v>193</v>
      </c>
      <c r="P1320" t="s">
        <v>193</v>
      </c>
    </row>
    <row r="1321" spans="1:16" ht="12.75">
      <c r="A1321" s="62" t="str">
        <f t="shared" si="21"/>
        <v>Uzbekistan_Public spending on education, total (% of government expenditure)</v>
      </c>
      <c r="B1321" t="s">
        <v>532</v>
      </c>
      <c r="C1321" t="s">
        <v>225</v>
      </c>
      <c r="D1321" t="s">
        <v>422</v>
      </c>
      <c r="E1321" t="s">
        <v>423</v>
      </c>
      <c r="F1321" t="s">
        <v>193</v>
      </c>
      <c r="G1321" t="s">
        <v>193</v>
      </c>
      <c r="H1321" t="s">
        <v>193</v>
      </c>
      <c r="I1321" t="s">
        <v>193</v>
      </c>
      <c r="J1321" t="s">
        <v>193</v>
      </c>
      <c r="K1321" t="s">
        <v>193</v>
      </c>
      <c r="L1321" t="s">
        <v>193</v>
      </c>
      <c r="M1321" t="s">
        <v>193</v>
      </c>
      <c r="N1321" t="s">
        <v>193</v>
      </c>
      <c r="O1321" t="s">
        <v>193</v>
      </c>
      <c r="P1321" t="s">
        <v>193</v>
      </c>
    </row>
    <row r="1322" spans="1:16" ht="12.75">
      <c r="A1322" s="62" t="str">
        <f t="shared" si="21"/>
        <v>Uzbekistan_Health expenditure, public (% of total health expenditure)</v>
      </c>
      <c r="B1322" t="s">
        <v>532</v>
      </c>
      <c r="C1322" t="s">
        <v>225</v>
      </c>
      <c r="D1322" t="s">
        <v>424</v>
      </c>
      <c r="E1322" t="s">
        <v>425</v>
      </c>
      <c r="F1322" t="s">
        <v>193</v>
      </c>
      <c r="G1322" t="s">
        <v>193</v>
      </c>
      <c r="H1322" t="s">
        <v>193</v>
      </c>
      <c r="I1322" t="s">
        <v>193</v>
      </c>
      <c r="J1322">
        <v>44.9</v>
      </c>
      <c r="K1322">
        <v>44.8</v>
      </c>
      <c r="L1322">
        <v>44.7</v>
      </c>
      <c r="M1322">
        <v>47.4</v>
      </c>
      <c r="N1322">
        <v>46.6</v>
      </c>
      <c r="O1322" t="s">
        <v>193</v>
      </c>
      <c r="P1322" t="s">
        <v>193</v>
      </c>
    </row>
    <row r="1323" spans="1:16" ht="12.75">
      <c r="A1323" s="62" t="str">
        <f t="shared" si="21"/>
        <v>Uzbekistan_Health expenditure, public (% of GDP)</v>
      </c>
      <c r="B1323" t="s">
        <v>532</v>
      </c>
      <c r="C1323" t="s">
        <v>225</v>
      </c>
      <c r="D1323" t="s">
        <v>426</v>
      </c>
      <c r="E1323" t="s">
        <v>427</v>
      </c>
      <c r="F1323" t="s">
        <v>193</v>
      </c>
      <c r="G1323" t="s">
        <v>193</v>
      </c>
      <c r="H1323" t="s">
        <v>193</v>
      </c>
      <c r="I1323" t="s">
        <v>193</v>
      </c>
      <c r="J1323">
        <v>2.6042</v>
      </c>
      <c r="K1323">
        <v>2.5536</v>
      </c>
      <c r="L1323">
        <v>2.5032</v>
      </c>
      <c r="M1323">
        <v>2.6544</v>
      </c>
      <c r="N1323">
        <v>2.3766</v>
      </c>
      <c r="O1323" t="s">
        <v>193</v>
      </c>
      <c r="P1323" t="s">
        <v>193</v>
      </c>
    </row>
    <row r="1324" spans="1:16" ht="12.75">
      <c r="A1324" s="62" t="str">
        <f t="shared" si="21"/>
        <v>Uzbekistan_Health expenditure, total (% of GDP)</v>
      </c>
      <c r="B1324" t="s">
        <v>532</v>
      </c>
      <c r="C1324" t="s">
        <v>225</v>
      </c>
      <c r="D1324" t="s">
        <v>428</v>
      </c>
      <c r="E1324" t="s">
        <v>429</v>
      </c>
      <c r="F1324" t="s">
        <v>193</v>
      </c>
      <c r="G1324" t="s">
        <v>193</v>
      </c>
      <c r="H1324" t="s">
        <v>193</v>
      </c>
      <c r="I1324" t="s">
        <v>193</v>
      </c>
      <c r="J1324">
        <v>5.8</v>
      </c>
      <c r="K1324">
        <v>5.7</v>
      </c>
      <c r="L1324">
        <v>5.6</v>
      </c>
      <c r="M1324">
        <v>5.6</v>
      </c>
      <c r="N1324">
        <v>5.1</v>
      </c>
      <c r="O1324" t="s">
        <v>193</v>
      </c>
      <c r="P1324" t="s">
        <v>193</v>
      </c>
    </row>
    <row r="1325" spans="1:16" ht="12.75">
      <c r="A1325" s="62" t="str">
        <f t="shared" si="21"/>
        <v>Uzbekistan_GDP (current LCU)</v>
      </c>
      <c r="B1325" t="s">
        <v>532</v>
      </c>
      <c r="C1325" t="s">
        <v>225</v>
      </c>
      <c r="D1325" t="s">
        <v>430</v>
      </c>
      <c r="E1325" t="s">
        <v>431</v>
      </c>
      <c r="F1325">
        <v>559071625216</v>
      </c>
      <c r="G1325">
        <v>976830005248</v>
      </c>
      <c r="H1325">
        <v>1416157986816</v>
      </c>
      <c r="I1325">
        <v>2128660004864</v>
      </c>
      <c r="J1325">
        <v>3255567122432</v>
      </c>
      <c r="K1325">
        <v>4925269999616</v>
      </c>
      <c r="L1325">
        <v>7450324893696</v>
      </c>
      <c r="M1325">
        <v>9844000030720</v>
      </c>
      <c r="N1325">
        <v>12261000216576</v>
      </c>
      <c r="O1325">
        <v>15923400409088</v>
      </c>
      <c r="P1325">
        <v>20759300800512</v>
      </c>
    </row>
    <row r="1326" spans="1:16" ht="12.75">
      <c r="A1326" s="62" t="str">
        <f t="shared" si="21"/>
        <v>Uzbekistan_GDP (current US$)</v>
      </c>
      <c r="B1326" t="s">
        <v>532</v>
      </c>
      <c r="C1326" t="s">
        <v>225</v>
      </c>
      <c r="D1326" t="s">
        <v>432</v>
      </c>
      <c r="E1326" t="s">
        <v>433</v>
      </c>
      <c r="F1326">
        <v>13948892160</v>
      </c>
      <c r="G1326">
        <v>14744603648</v>
      </c>
      <c r="H1326">
        <v>14988971008</v>
      </c>
      <c r="I1326">
        <v>17078465536</v>
      </c>
      <c r="J1326">
        <v>13760374784</v>
      </c>
      <c r="K1326">
        <v>11401351168</v>
      </c>
      <c r="L1326">
        <v>9687951360</v>
      </c>
      <c r="M1326">
        <v>10134453248</v>
      </c>
      <c r="N1326">
        <v>12030023680</v>
      </c>
      <c r="O1326">
        <v>14604862464</v>
      </c>
      <c r="P1326">
        <v>17178415104</v>
      </c>
    </row>
    <row r="1327" spans="1:16" ht="12.75">
      <c r="A1327" s="62" t="str">
        <f t="shared" si="21"/>
        <v>Uzbekistan_GDP per capita, PPP (current international $)</v>
      </c>
      <c r="B1327" t="s">
        <v>532</v>
      </c>
      <c r="C1327" t="s">
        <v>225</v>
      </c>
      <c r="D1327" t="s">
        <v>434</v>
      </c>
      <c r="E1327" t="s">
        <v>435</v>
      </c>
      <c r="F1327">
        <v>1255.85616850356</v>
      </c>
      <c r="G1327">
        <v>1318.14293819814</v>
      </c>
      <c r="H1327">
        <v>1367.90344192565</v>
      </c>
      <c r="I1327">
        <v>1426.63702761808</v>
      </c>
      <c r="J1327">
        <v>1497.78346381873</v>
      </c>
      <c r="K1327">
        <v>1577.99132749381</v>
      </c>
      <c r="L1327">
        <v>1649.69164529903</v>
      </c>
      <c r="M1327">
        <v>1733.6650186479</v>
      </c>
      <c r="N1327">
        <v>1894.17141347605</v>
      </c>
      <c r="O1327">
        <v>2063.72476501905</v>
      </c>
      <c r="P1327">
        <v>2247.18931463976</v>
      </c>
    </row>
    <row r="1328" spans="1:16" ht="12.75">
      <c r="A1328" s="62" t="str">
        <f t="shared" si="21"/>
        <v>Uzbekistan_GDP per capita, PPP (constant 2000 international $)</v>
      </c>
      <c r="B1328" t="s">
        <v>532</v>
      </c>
      <c r="C1328" t="s">
        <v>225</v>
      </c>
      <c r="D1328" t="s">
        <v>436</v>
      </c>
      <c r="E1328" t="s">
        <v>437</v>
      </c>
      <c r="F1328">
        <v>1338.22302672798</v>
      </c>
      <c r="G1328">
        <v>1381.51871030102</v>
      </c>
      <c r="H1328">
        <v>1417.91806467455</v>
      </c>
      <c r="I1328">
        <v>1457.73565090636</v>
      </c>
      <c r="J1328">
        <v>1497.78346381873</v>
      </c>
      <c r="K1328">
        <v>1540.87461774157</v>
      </c>
      <c r="L1328">
        <v>1583.18190967808</v>
      </c>
      <c r="M1328">
        <v>1630.58358191771</v>
      </c>
      <c r="N1328">
        <v>1735.99411722599</v>
      </c>
      <c r="O1328">
        <v>1836.00627466879</v>
      </c>
      <c r="P1328">
        <v>1942.35192871044</v>
      </c>
    </row>
    <row r="1329" spans="1:16" ht="12.75">
      <c r="A1329" s="62" t="str">
        <f t="shared" si="21"/>
        <v>Uzbekistan_GINI index</v>
      </c>
      <c r="B1329" t="s">
        <v>532</v>
      </c>
      <c r="C1329" t="s">
        <v>225</v>
      </c>
      <c r="D1329" t="s">
        <v>438</v>
      </c>
      <c r="E1329" t="s">
        <v>439</v>
      </c>
      <c r="F1329" t="s">
        <v>193</v>
      </c>
      <c r="G1329" t="s">
        <v>193</v>
      </c>
      <c r="H1329">
        <v>45.35</v>
      </c>
      <c r="I1329" t="s">
        <v>193</v>
      </c>
      <c r="J1329" t="s">
        <v>193</v>
      </c>
      <c r="K1329" t="s">
        <v>193</v>
      </c>
      <c r="L1329" t="s">
        <v>193</v>
      </c>
      <c r="M1329">
        <v>36.77</v>
      </c>
      <c r="N1329" t="s">
        <v>193</v>
      </c>
      <c r="O1329" t="s">
        <v>193</v>
      </c>
      <c r="P1329" t="s">
        <v>193</v>
      </c>
    </row>
    <row r="1330" spans="1:16" ht="12.75">
      <c r="A1330" s="62" t="str">
        <f t="shared" si="21"/>
        <v>Venezuela, RB_Poverty headcount ratio at national poverty line (% of population)</v>
      </c>
      <c r="B1330" t="s">
        <v>533</v>
      </c>
      <c r="C1330" t="s">
        <v>534</v>
      </c>
      <c r="D1330" t="s">
        <v>408</v>
      </c>
      <c r="E1330" t="s">
        <v>409</v>
      </c>
      <c r="F1330" t="s">
        <v>193</v>
      </c>
      <c r="G1330" t="s">
        <v>193</v>
      </c>
      <c r="H1330" t="s">
        <v>193</v>
      </c>
      <c r="I1330" t="s">
        <v>193</v>
      </c>
      <c r="J1330" t="s">
        <v>193</v>
      </c>
      <c r="K1330" t="s">
        <v>193</v>
      </c>
      <c r="L1330" t="s">
        <v>193</v>
      </c>
      <c r="M1330" t="s">
        <v>193</v>
      </c>
      <c r="N1330" t="s">
        <v>193</v>
      </c>
      <c r="O1330" t="s">
        <v>193</v>
      </c>
      <c r="P1330" t="s">
        <v>193</v>
      </c>
    </row>
    <row r="1331" spans="1:16" ht="12.75">
      <c r="A1331" s="62" t="str">
        <f t="shared" si="21"/>
        <v>Venezuela, RB_Poverty headcount ratio at $2 a day (PPP) (% of population)</v>
      </c>
      <c r="B1331" t="s">
        <v>533</v>
      </c>
      <c r="C1331" t="s">
        <v>534</v>
      </c>
      <c r="D1331" t="s">
        <v>410</v>
      </c>
      <c r="E1331" t="s">
        <v>411</v>
      </c>
      <c r="F1331">
        <v>36.41</v>
      </c>
      <c r="G1331" t="s">
        <v>193</v>
      </c>
      <c r="H1331">
        <v>30.61</v>
      </c>
      <c r="I1331" t="s">
        <v>193</v>
      </c>
      <c r="J1331">
        <v>27.81</v>
      </c>
      <c r="K1331" t="s">
        <v>193</v>
      </c>
      <c r="L1331" t="s">
        <v>193</v>
      </c>
      <c r="M1331">
        <v>40.12</v>
      </c>
      <c r="N1331" t="s">
        <v>193</v>
      </c>
      <c r="O1331" t="s">
        <v>193</v>
      </c>
      <c r="P1331" t="s">
        <v>193</v>
      </c>
    </row>
    <row r="1332" spans="1:16" ht="12.75">
      <c r="A1332" s="62" t="str">
        <f t="shared" si="21"/>
        <v>Venezuela, RB_Poverty headcount ratio at $1 a day (PPP) (% of population)</v>
      </c>
      <c r="B1332" t="s">
        <v>533</v>
      </c>
      <c r="C1332" t="s">
        <v>534</v>
      </c>
      <c r="D1332" t="s">
        <v>412</v>
      </c>
      <c r="E1332" t="s">
        <v>413</v>
      </c>
      <c r="F1332">
        <v>14.69</v>
      </c>
      <c r="G1332" t="s">
        <v>193</v>
      </c>
      <c r="H1332">
        <v>14.31</v>
      </c>
      <c r="I1332" t="s">
        <v>193</v>
      </c>
      <c r="J1332">
        <v>8.87</v>
      </c>
      <c r="K1332" t="s">
        <v>193</v>
      </c>
      <c r="L1332" t="s">
        <v>193</v>
      </c>
      <c r="M1332">
        <v>18.51</v>
      </c>
      <c r="N1332" t="s">
        <v>193</v>
      </c>
      <c r="O1332" t="s">
        <v>193</v>
      </c>
      <c r="P1332" t="s">
        <v>193</v>
      </c>
    </row>
    <row r="1333" spans="1:16" ht="12.75">
      <c r="A1333" s="62" t="str">
        <f t="shared" si="21"/>
        <v>Venezuela, RB_Poverty gap at $1 a day (PPP) (%)</v>
      </c>
      <c r="B1333" t="s">
        <v>533</v>
      </c>
      <c r="C1333" t="s">
        <v>534</v>
      </c>
      <c r="D1333" t="s">
        <v>414</v>
      </c>
      <c r="E1333" t="s">
        <v>415</v>
      </c>
      <c r="F1333">
        <v>5.62</v>
      </c>
      <c r="G1333" t="s">
        <v>193</v>
      </c>
      <c r="H1333">
        <v>6.58</v>
      </c>
      <c r="I1333" t="s">
        <v>193</v>
      </c>
      <c r="J1333">
        <v>2.7</v>
      </c>
      <c r="K1333" t="s">
        <v>193</v>
      </c>
      <c r="L1333" t="s">
        <v>193</v>
      </c>
      <c r="M1333">
        <v>8.86</v>
      </c>
      <c r="N1333" t="s">
        <v>193</v>
      </c>
      <c r="O1333" t="s">
        <v>193</v>
      </c>
      <c r="P1333" t="s">
        <v>193</v>
      </c>
    </row>
    <row r="1334" spans="1:16" ht="12.75">
      <c r="A1334" s="62" t="str">
        <f t="shared" si="21"/>
        <v>Venezuela, RB_Poverty gap at $2 a day (PPP) (%)</v>
      </c>
      <c r="B1334" t="s">
        <v>533</v>
      </c>
      <c r="C1334" t="s">
        <v>534</v>
      </c>
      <c r="D1334" t="s">
        <v>416</v>
      </c>
      <c r="E1334" t="s">
        <v>417</v>
      </c>
      <c r="F1334">
        <v>15.69</v>
      </c>
      <c r="G1334" t="s">
        <v>193</v>
      </c>
      <c r="H1334">
        <v>14.52</v>
      </c>
      <c r="I1334" t="s">
        <v>193</v>
      </c>
      <c r="J1334">
        <v>10.33</v>
      </c>
      <c r="K1334" t="s">
        <v>193</v>
      </c>
      <c r="L1334" t="s">
        <v>193</v>
      </c>
      <c r="M1334">
        <v>19.19</v>
      </c>
      <c r="N1334" t="s">
        <v>193</v>
      </c>
      <c r="O1334" t="s">
        <v>193</v>
      </c>
      <c r="P1334" t="s">
        <v>193</v>
      </c>
    </row>
    <row r="1335" spans="1:16" ht="12.75">
      <c r="A1335" s="62" t="str">
        <f t="shared" si="21"/>
        <v>Venezuela, RB_Population, total</v>
      </c>
      <c r="B1335" t="s">
        <v>533</v>
      </c>
      <c r="C1335" t="s">
        <v>534</v>
      </c>
      <c r="D1335" t="s">
        <v>418</v>
      </c>
      <c r="E1335" t="s">
        <v>419</v>
      </c>
      <c r="F1335">
        <v>22502000</v>
      </c>
      <c r="G1335">
        <v>22959000</v>
      </c>
      <c r="H1335">
        <v>23413000</v>
      </c>
      <c r="I1335">
        <v>23867000</v>
      </c>
      <c r="J1335">
        <v>24311000</v>
      </c>
      <c r="K1335">
        <v>24765000</v>
      </c>
      <c r="L1335">
        <v>25220000</v>
      </c>
      <c r="M1335">
        <v>25674000</v>
      </c>
      <c r="N1335">
        <v>26127000</v>
      </c>
      <c r="O1335">
        <v>26577000</v>
      </c>
      <c r="P1335">
        <v>27020920.4523679</v>
      </c>
    </row>
    <row r="1336" spans="1:16" ht="12.75">
      <c r="A1336" s="62" t="str">
        <f t="shared" si="21"/>
        <v>Venezuela, RB_Public spending on education, total (% of GDP)</v>
      </c>
      <c r="B1336" t="s">
        <v>533</v>
      </c>
      <c r="C1336" t="s">
        <v>534</v>
      </c>
      <c r="D1336" t="s">
        <v>420</v>
      </c>
      <c r="E1336" t="s">
        <v>421</v>
      </c>
      <c r="F1336" t="s">
        <v>193</v>
      </c>
      <c r="G1336" t="s">
        <v>193</v>
      </c>
      <c r="H1336" t="s">
        <v>193</v>
      </c>
      <c r="I1336" t="s">
        <v>193</v>
      </c>
      <c r="J1336" t="s">
        <v>193</v>
      </c>
      <c r="K1336" t="s">
        <v>193</v>
      </c>
      <c r="L1336" t="s">
        <v>193</v>
      </c>
      <c r="M1336" t="s">
        <v>193</v>
      </c>
      <c r="N1336" t="s">
        <v>193</v>
      </c>
      <c r="O1336" t="s">
        <v>193</v>
      </c>
      <c r="P1336" t="s">
        <v>193</v>
      </c>
    </row>
    <row r="1337" spans="1:16" ht="12.75">
      <c r="A1337" s="62" t="str">
        <f t="shared" si="21"/>
        <v>Venezuela, RB_Public spending on education, total (% of government expenditure)</v>
      </c>
      <c r="B1337" t="s">
        <v>533</v>
      </c>
      <c r="C1337" t="s">
        <v>534</v>
      </c>
      <c r="D1337" t="s">
        <v>422</v>
      </c>
      <c r="E1337" t="s">
        <v>423</v>
      </c>
      <c r="F1337" t="s">
        <v>193</v>
      </c>
      <c r="G1337" t="s">
        <v>193</v>
      </c>
      <c r="H1337" t="s">
        <v>193</v>
      </c>
      <c r="I1337" t="s">
        <v>193</v>
      </c>
      <c r="J1337" t="s">
        <v>193</v>
      </c>
      <c r="K1337" t="s">
        <v>193</v>
      </c>
      <c r="L1337" t="s">
        <v>193</v>
      </c>
      <c r="M1337" t="s">
        <v>193</v>
      </c>
      <c r="N1337" t="s">
        <v>193</v>
      </c>
      <c r="O1337" t="s">
        <v>193</v>
      </c>
      <c r="P1337" t="s">
        <v>193</v>
      </c>
    </row>
    <row r="1338" spans="1:16" ht="12.75">
      <c r="A1338" s="62" t="str">
        <f t="shared" si="21"/>
        <v>Venezuela, RB_Health expenditure, public (% of total health expenditure)</v>
      </c>
      <c r="B1338" t="s">
        <v>533</v>
      </c>
      <c r="C1338" t="s">
        <v>534</v>
      </c>
      <c r="D1338" t="s">
        <v>424</v>
      </c>
      <c r="E1338" t="s">
        <v>425</v>
      </c>
      <c r="F1338" t="s">
        <v>193</v>
      </c>
      <c r="G1338" t="s">
        <v>193</v>
      </c>
      <c r="H1338" t="s">
        <v>193</v>
      </c>
      <c r="I1338" t="s">
        <v>193</v>
      </c>
      <c r="J1338">
        <v>54.4</v>
      </c>
      <c r="K1338">
        <v>43.4</v>
      </c>
      <c r="L1338">
        <v>46.1</v>
      </c>
      <c r="M1338">
        <v>42</v>
      </c>
      <c r="N1338">
        <v>42</v>
      </c>
      <c r="O1338" t="s">
        <v>193</v>
      </c>
      <c r="P1338" t="s">
        <v>193</v>
      </c>
    </row>
    <row r="1339" spans="1:16" ht="12.75">
      <c r="A1339" s="62" t="str">
        <f t="shared" si="21"/>
        <v>Venezuela, RB_Health expenditure, public (% of GDP)</v>
      </c>
      <c r="B1339" t="s">
        <v>533</v>
      </c>
      <c r="C1339" t="s">
        <v>534</v>
      </c>
      <c r="D1339" t="s">
        <v>426</v>
      </c>
      <c r="E1339" t="s">
        <v>427</v>
      </c>
      <c r="F1339" t="s">
        <v>193</v>
      </c>
      <c r="G1339" t="s">
        <v>193</v>
      </c>
      <c r="H1339" t="s">
        <v>193</v>
      </c>
      <c r="I1339" t="s">
        <v>193</v>
      </c>
      <c r="J1339">
        <v>3.3728</v>
      </c>
      <c r="K1339">
        <v>2.2568</v>
      </c>
      <c r="L1339">
        <v>2.305</v>
      </c>
      <c r="M1339">
        <v>1.974</v>
      </c>
      <c r="N1339">
        <v>1.974</v>
      </c>
      <c r="O1339" t="s">
        <v>193</v>
      </c>
      <c r="P1339" t="s">
        <v>193</v>
      </c>
    </row>
    <row r="1340" spans="1:16" ht="12.75">
      <c r="A1340" s="62" t="str">
        <f t="shared" si="21"/>
        <v>Venezuela, RB_Health expenditure, total (% of GDP)</v>
      </c>
      <c r="B1340" t="s">
        <v>533</v>
      </c>
      <c r="C1340" t="s">
        <v>534</v>
      </c>
      <c r="D1340" t="s">
        <v>428</v>
      </c>
      <c r="E1340" t="s">
        <v>429</v>
      </c>
      <c r="F1340" t="s">
        <v>193</v>
      </c>
      <c r="G1340" t="s">
        <v>193</v>
      </c>
      <c r="H1340" t="s">
        <v>193</v>
      </c>
      <c r="I1340" t="s">
        <v>193</v>
      </c>
      <c r="J1340">
        <v>6.2</v>
      </c>
      <c r="K1340">
        <v>5.2</v>
      </c>
      <c r="L1340">
        <v>5</v>
      </c>
      <c r="M1340">
        <v>4.7</v>
      </c>
      <c r="N1340">
        <v>4.7</v>
      </c>
      <c r="O1340" t="s">
        <v>193</v>
      </c>
      <c r="P1340" t="s">
        <v>193</v>
      </c>
    </row>
    <row r="1341" spans="1:16" ht="12.75">
      <c r="A1341" s="62" t="str">
        <f t="shared" si="21"/>
        <v>Venezuela, RB_GDP (current LCU)</v>
      </c>
      <c r="B1341" t="s">
        <v>533</v>
      </c>
      <c r="C1341" t="s">
        <v>534</v>
      </c>
      <c r="D1341" t="s">
        <v>430</v>
      </c>
      <c r="E1341" t="s">
        <v>431</v>
      </c>
      <c r="F1341">
        <v>28486494322688</v>
      </c>
      <c r="G1341">
        <v>41943149051904</v>
      </c>
      <c r="H1341">
        <v>50012968976384</v>
      </c>
      <c r="I1341">
        <v>59344599121920</v>
      </c>
      <c r="J1341">
        <v>79655688208384</v>
      </c>
      <c r="K1341">
        <v>88945593417728</v>
      </c>
      <c r="L1341">
        <v>107840169574400</v>
      </c>
      <c r="M1341">
        <v>134227836272640</v>
      </c>
      <c r="N1341">
        <v>212683089510400</v>
      </c>
      <c r="O1341">
        <v>302642924355584</v>
      </c>
      <c r="P1341">
        <v>390457355927552</v>
      </c>
    </row>
    <row r="1342" spans="1:16" ht="12.75">
      <c r="A1342" s="62" t="str">
        <f t="shared" si="21"/>
        <v>Venezuela, RB_GDP (current US$)</v>
      </c>
      <c r="B1342" t="s">
        <v>533</v>
      </c>
      <c r="C1342" t="s">
        <v>534</v>
      </c>
      <c r="D1342" t="s">
        <v>432</v>
      </c>
      <c r="E1342" t="s">
        <v>433</v>
      </c>
      <c r="F1342">
        <v>68258426880</v>
      </c>
      <c r="G1342">
        <v>85837389824</v>
      </c>
      <c r="H1342">
        <v>91338539008</v>
      </c>
      <c r="I1342">
        <v>97974132736</v>
      </c>
      <c r="J1342">
        <v>117147615232</v>
      </c>
      <c r="K1342">
        <v>122909736960</v>
      </c>
      <c r="L1342">
        <v>92889587712</v>
      </c>
      <c r="M1342">
        <v>83529048064</v>
      </c>
      <c r="N1342">
        <v>112451600384</v>
      </c>
      <c r="O1342">
        <v>144822550528</v>
      </c>
      <c r="P1342">
        <v>181861842944</v>
      </c>
    </row>
    <row r="1343" spans="1:16" ht="12.75">
      <c r="A1343" s="62" t="str">
        <f t="shared" si="21"/>
        <v>Venezuela, RB_GDP per capita, PPP (current international $)</v>
      </c>
      <c r="B1343" t="s">
        <v>533</v>
      </c>
      <c r="C1343" t="s">
        <v>534</v>
      </c>
      <c r="D1343" t="s">
        <v>434</v>
      </c>
      <c r="E1343" t="s">
        <v>435</v>
      </c>
      <c r="F1343">
        <v>5613.35599931434</v>
      </c>
      <c r="G1343">
        <v>5949.87768057687</v>
      </c>
      <c r="H1343">
        <v>5916.67484006095</v>
      </c>
      <c r="I1343">
        <v>5536.4535909752</v>
      </c>
      <c r="J1343">
        <v>5758.58824483009</v>
      </c>
      <c r="K1343">
        <v>5985.68907475369</v>
      </c>
      <c r="L1343">
        <v>5450.94527721699</v>
      </c>
      <c r="M1343">
        <v>5039.81915446093</v>
      </c>
      <c r="N1343">
        <v>6011.78477440626</v>
      </c>
      <c r="O1343">
        <v>6717.3644907643</v>
      </c>
      <c r="P1343">
        <v>7503.14971956108</v>
      </c>
    </row>
    <row r="1344" spans="1:16" ht="12.75">
      <c r="A1344" s="62" t="str">
        <f t="shared" si="21"/>
        <v>Venezuela, RB_GDP per capita, PPP (constant 2000 international $)</v>
      </c>
      <c r="B1344" t="s">
        <v>533</v>
      </c>
      <c r="C1344" t="s">
        <v>534</v>
      </c>
      <c r="D1344" t="s">
        <v>436</v>
      </c>
      <c r="E1344" t="s">
        <v>437</v>
      </c>
      <c r="F1344">
        <v>5981.51479755449</v>
      </c>
      <c r="G1344">
        <v>6235.94536033832</v>
      </c>
      <c r="H1344">
        <v>6133.00608902471</v>
      </c>
      <c r="I1344">
        <v>5657.14026967882</v>
      </c>
      <c r="J1344">
        <v>5758.58824483009</v>
      </c>
      <c r="K1344">
        <v>5844.89673947028</v>
      </c>
      <c r="L1344">
        <v>5231.18243226045</v>
      </c>
      <c r="M1344">
        <v>4740.15815091406</v>
      </c>
      <c r="N1344">
        <v>5509.75636531536</v>
      </c>
      <c r="O1344">
        <v>5976.14738328089</v>
      </c>
      <c r="P1344">
        <v>6485.32690781726</v>
      </c>
    </row>
    <row r="1345" spans="1:16" ht="12.75">
      <c r="A1345" s="62" t="str">
        <f t="shared" si="21"/>
        <v>Venezuela, RB_GINI index</v>
      </c>
      <c r="B1345" t="s">
        <v>533</v>
      </c>
      <c r="C1345" t="s">
        <v>534</v>
      </c>
      <c r="D1345" t="s">
        <v>438</v>
      </c>
      <c r="E1345" t="s">
        <v>439</v>
      </c>
      <c r="F1345">
        <v>48.79</v>
      </c>
      <c r="G1345" t="s">
        <v>193</v>
      </c>
      <c r="H1345">
        <v>49.53</v>
      </c>
      <c r="I1345" t="s">
        <v>193</v>
      </c>
      <c r="J1345">
        <v>44.04</v>
      </c>
      <c r="K1345" t="s">
        <v>193</v>
      </c>
      <c r="L1345" t="s">
        <v>193</v>
      </c>
      <c r="M1345">
        <v>48.2</v>
      </c>
      <c r="N1345" t="s">
        <v>193</v>
      </c>
      <c r="O1345" t="s">
        <v>193</v>
      </c>
      <c r="P1345" t="s">
        <v>193</v>
      </c>
    </row>
    <row r="1346" spans="1:16" ht="12.75">
      <c r="A1346" s="62" t="str">
        <f t="shared" si="21"/>
        <v>Vietnam_Poverty headcount ratio at national poverty line (% of population)</v>
      </c>
      <c r="B1346" t="s">
        <v>535</v>
      </c>
      <c r="C1346" t="s">
        <v>232</v>
      </c>
      <c r="D1346" t="s">
        <v>408</v>
      </c>
      <c r="E1346" t="s">
        <v>409</v>
      </c>
      <c r="F1346" t="s">
        <v>193</v>
      </c>
      <c r="G1346" t="s">
        <v>193</v>
      </c>
      <c r="H1346">
        <v>37.4</v>
      </c>
      <c r="I1346" t="s">
        <v>193</v>
      </c>
      <c r="J1346" t="s">
        <v>193</v>
      </c>
      <c r="K1346" t="s">
        <v>193</v>
      </c>
      <c r="L1346">
        <v>28.9</v>
      </c>
      <c r="M1346" t="s">
        <v>193</v>
      </c>
      <c r="N1346" t="s">
        <v>193</v>
      </c>
      <c r="O1346" t="s">
        <v>193</v>
      </c>
      <c r="P1346" t="s">
        <v>193</v>
      </c>
    </row>
    <row r="1347" spans="1:16" ht="12.75">
      <c r="A1347" s="62" t="str">
        <f t="shared" si="21"/>
        <v>Vietnam_Poverty headcount ratio at $2 a day (PPP) (% of population)</v>
      </c>
      <c r="B1347" t="s">
        <v>535</v>
      </c>
      <c r="C1347" t="s">
        <v>232</v>
      </c>
      <c r="D1347" t="s">
        <v>410</v>
      </c>
      <c r="E1347" t="s">
        <v>411</v>
      </c>
      <c r="F1347" t="s">
        <v>193</v>
      </c>
      <c r="G1347" t="s">
        <v>193</v>
      </c>
      <c r="H1347" t="s">
        <v>193</v>
      </c>
      <c r="I1347" t="s">
        <v>193</v>
      </c>
      <c r="J1347" t="s">
        <v>193</v>
      </c>
      <c r="K1347" t="s">
        <v>193</v>
      </c>
      <c r="L1347" t="s">
        <v>193</v>
      </c>
      <c r="M1347" t="s">
        <v>193</v>
      </c>
      <c r="N1347" t="s">
        <v>193</v>
      </c>
      <c r="O1347" t="s">
        <v>193</v>
      </c>
      <c r="P1347" t="s">
        <v>193</v>
      </c>
    </row>
    <row r="1348" spans="1:16" ht="12.75">
      <c r="A1348" s="62" t="str">
        <f t="shared" si="21"/>
        <v>Vietnam_Poverty headcount ratio at $1 a day (PPP) (% of population)</v>
      </c>
      <c r="B1348" t="s">
        <v>535</v>
      </c>
      <c r="C1348" t="s">
        <v>232</v>
      </c>
      <c r="D1348" t="s">
        <v>412</v>
      </c>
      <c r="E1348" t="s">
        <v>413</v>
      </c>
      <c r="F1348" t="s">
        <v>193</v>
      </c>
      <c r="G1348" t="s">
        <v>193</v>
      </c>
      <c r="H1348" t="s">
        <v>193</v>
      </c>
      <c r="I1348" t="s">
        <v>193</v>
      </c>
      <c r="J1348" t="s">
        <v>193</v>
      </c>
      <c r="K1348" t="s">
        <v>193</v>
      </c>
      <c r="L1348" t="s">
        <v>193</v>
      </c>
      <c r="M1348" t="s">
        <v>193</v>
      </c>
      <c r="N1348" t="s">
        <v>193</v>
      </c>
      <c r="O1348" t="s">
        <v>193</v>
      </c>
      <c r="P1348" t="s">
        <v>193</v>
      </c>
    </row>
    <row r="1349" spans="1:16" ht="12.75">
      <c r="A1349" s="62" t="str">
        <f t="shared" si="21"/>
        <v>Vietnam_Poverty gap at $1 a day (PPP) (%)</v>
      </c>
      <c r="B1349" t="s">
        <v>535</v>
      </c>
      <c r="C1349" t="s">
        <v>232</v>
      </c>
      <c r="D1349" t="s">
        <v>414</v>
      </c>
      <c r="E1349" t="s">
        <v>415</v>
      </c>
      <c r="F1349" t="s">
        <v>193</v>
      </c>
      <c r="G1349" t="s">
        <v>193</v>
      </c>
      <c r="H1349" t="s">
        <v>193</v>
      </c>
      <c r="I1349" t="s">
        <v>193</v>
      </c>
      <c r="J1349" t="s">
        <v>193</v>
      </c>
      <c r="K1349" t="s">
        <v>193</v>
      </c>
      <c r="L1349" t="s">
        <v>193</v>
      </c>
      <c r="M1349" t="s">
        <v>193</v>
      </c>
      <c r="N1349" t="s">
        <v>193</v>
      </c>
      <c r="O1349" t="s">
        <v>193</v>
      </c>
      <c r="P1349" t="s">
        <v>193</v>
      </c>
    </row>
    <row r="1350" spans="1:16" ht="12.75">
      <c r="A1350" s="62" t="str">
        <f t="shared" si="21"/>
        <v>Vietnam_Poverty gap at $2 a day (PPP) (%)</v>
      </c>
      <c r="B1350" t="s">
        <v>535</v>
      </c>
      <c r="C1350" t="s">
        <v>232</v>
      </c>
      <c r="D1350" t="s">
        <v>416</v>
      </c>
      <c r="E1350" t="s">
        <v>417</v>
      </c>
      <c r="F1350" t="s">
        <v>193</v>
      </c>
      <c r="G1350" t="s">
        <v>193</v>
      </c>
      <c r="H1350" t="s">
        <v>193</v>
      </c>
      <c r="I1350" t="s">
        <v>193</v>
      </c>
      <c r="J1350" t="s">
        <v>193</v>
      </c>
      <c r="K1350" t="s">
        <v>193</v>
      </c>
      <c r="L1350" t="s">
        <v>193</v>
      </c>
      <c r="M1350" t="s">
        <v>193</v>
      </c>
      <c r="N1350" t="s">
        <v>193</v>
      </c>
      <c r="O1350" t="s">
        <v>193</v>
      </c>
      <c r="P1350" t="s">
        <v>193</v>
      </c>
    </row>
    <row r="1351" spans="1:16" ht="12.75">
      <c r="A1351" s="62" t="str">
        <f t="shared" si="21"/>
        <v>Vietnam_Population, total</v>
      </c>
      <c r="B1351" t="s">
        <v>535</v>
      </c>
      <c r="C1351" t="s">
        <v>232</v>
      </c>
      <c r="D1351" t="s">
        <v>418</v>
      </c>
      <c r="E1351" t="s">
        <v>419</v>
      </c>
      <c r="F1351">
        <v>74300000</v>
      </c>
      <c r="G1351">
        <v>75460000</v>
      </c>
      <c r="H1351">
        <v>76520000</v>
      </c>
      <c r="I1351">
        <v>77515000</v>
      </c>
      <c r="J1351">
        <v>77635400</v>
      </c>
      <c r="K1351">
        <v>78685800</v>
      </c>
      <c r="L1351">
        <v>79727400</v>
      </c>
      <c r="M1351">
        <v>80902400</v>
      </c>
      <c r="N1351">
        <v>82031700</v>
      </c>
      <c r="O1351">
        <v>83104900</v>
      </c>
      <c r="P1351">
        <v>84108100</v>
      </c>
    </row>
    <row r="1352" spans="1:16" ht="12.75">
      <c r="A1352" s="62" t="str">
        <f t="shared" si="21"/>
        <v>Vietnam_Public spending on education, total (% of GDP)</v>
      </c>
      <c r="B1352" t="s">
        <v>535</v>
      </c>
      <c r="C1352" t="s">
        <v>232</v>
      </c>
      <c r="D1352" t="s">
        <v>420</v>
      </c>
      <c r="E1352" t="s">
        <v>421</v>
      </c>
      <c r="F1352" t="s">
        <v>193</v>
      </c>
      <c r="G1352" t="s">
        <v>193</v>
      </c>
      <c r="H1352" t="s">
        <v>193</v>
      </c>
      <c r="I1352" t="s">
        <v>193</v>
      </c>
      <c r="J1352" t="s">
        <v>193</v>
      </c>
      <c r="K1352" t="s">
        <v>193</v>
      </c>
      <c r="L1352" t="s">
        <v>193</v>
      </c>
      <c r="M1352" t="s">
        <v>193</v>
      </c>
      <c r="N1352" t="s">
        <v>193</v>
      </c>
      <c r="O1352" t="s">
        <v>193</v>
      </c>
      <c r="P1352" t="s">
        <v>193</v>
      </c>
    </row>
    <row r="1353" spans="1:16" ht="12.75">
      <c r="A1353" s="62" t="str">
        <f t="shared" si="21"/>
        <v>Vietnam_Public spending on education, total (% of government expenditure)</v>
      </c>
      <c r="B1353" t="s">
        <v>535</v>
      </c>
      <c r="C1353" t="s">
        <v>232</v>
      </c>
      <c r="D1353" t="s">
        <v>422</v>
      </c>
      <c r="E1353" t="s">
        <v>423</v>
      </c>
      <c r="F1353" t="s">
        <v>193</v>
      </c>
      <c r="G1353" t="s">
        <v>193</v>
      </c>
      <c r="H1353" t="s">
        <v>193</v>
      </c>
      <c r="I1353" t="s">
        <v>193</v>
      </c>
      <c r="J1353" t="s">
        <v>193</v>
      </c>
      <c r="K1353" t="s">
        <v>193</v>
      </c>
      <c r="L1353" t="s">
        <v>193</v>
      </c>
      <c r="M1353" t="s">
        <v>193</v>
      </c>
      <c r="N1353" t="s">
        <v>193</v>
      </c>
      <c r="O1353" t="s">
        <v>193</v>
      </c>
      <c r="P1353" t="s">
        <v>193</v>
      </c>
    </row>
    <row r="1354" spans="1:16" ht="12.75">
      <c r="A1354" s="62" t="str">
        <f t="shared" si="21"/>
        <v>Vietnam_Health expenditure, public (% of total health expenditure)</v>
      </c>
      <c r="B1354" t="s">
        <v>535</v>
      </c>
      <c r="C1354" t="s">
        <v>232</v>
      </c>
      <c r="D1354" t="s">
        <v>424</v>
      </c>
      <c r="E1354" t="s">
        <v>425</v>
      </c>
      <c r="F1354" t="s">
        <v>193</v>
      </c>
      <c r="G1354" t="s">
        <v>193</v>
      </c>
      <c r="H1354" t="s">
        <v>193</v>
      </c>
      <c r="I1354" t="s">
        <v>193</v>
      </c>
      <c r="J1354">
        <v>28</v>
      </c>
      <c r="K1354">
        <v>29.2</v>
      </c>
      <c r="L1354">
        <v>28.1</v>
      </c>
      <c r="M1354">
        <v>29.1</v>
      </c>
      <c r="N1354">
        <v>27.1</v>
      </c>
      <c r="O1354" t="s">
        <v>193</v>
      </c>
      <c r="P1354" t="s">
        <v>193</v>
      </c>
    </row>
    <row r="1355" spans="1:16" ht="12.75">
      <c r="A1355" s="62" t="str">
        <f t="shared" si="21"/>
        <v>Vietnam_Health expenditure, public (% of GDP)</v>
      </c>
      <c r="B1355" t="s">
        <v>535</v>
      </c>
      <c r="C1355" t="s">
        <v>232</v>
      </c>
      <c r="D1355" t="s">
        <v>426</v>
      </c>
      <c r="E1355" t="s">
        <v>427</v>
      </c>
      <c r="F1355" t="s">
        <v>193</v>
      </c>
      <c r="G1355" t="s">
        <v>193</v>
      </c>
      <c r="H1355" t="s">
        <v>193</v>
      </c>
      <c r="I1355" t="s">
        <v>193</v>
      </c>
      <c r="J1355">
        <v>1.484</v>
      </c>
      <c r="K1355">
        <v>1.606</v>
      </c>
      <c r="L1355">
        <v>1.4331</v>
      </c>
      <c r="M1355">
        <v>1.5132</v>
      </c>
      <c r="N1355">
        <v>1.4905</v>
      </c>
      <c r="O1355" t="s">
        <v>193</v>
      </c>
      <c r="P1355" t="s">
        <v>193</v>
      </c>
    </row>
    <row r="1356" spans="1:16" ht="12.75">
      <c r="A1356" s="62" t="str">
        <f t="shared" si="21"/>
        <v>Vietnam_Health expenditure, total (% of GDP)</v>
      </c>
      <c r="B1356" t="s">
        <v>535</v>
      </c>
      <c r="C1356" t="s">
        <v>232</v>
      </c>
      <c r="D1356" t="s">
        <v>428</v>
      </c>
      <c r="E1356" t="s">
        <v>429</v>
      </c>
      <c r="F1356" t="s">
        <v>193</v>
      </c>
      <c r="G1356" t="s">
        <v>193</v>
      </c>
      <c r="H1356" t="s">
        <v>193</v>
      </c>
      <c r="I1356" t="s">
        <v>193</v>
      </c>
      <c r="J1356">
        <v>5.3</v>
      </c>
      <c r="K1356">
        <v>5.5</v>
      </c>
      <c r="L1356">
        <v>5.1</v>
      </c>
      <c r="M1356">
        <v>5.2</v>
      </c>
      <c r="N1356">
        <v>5.5</v>
      </c>
      <c r="O1356" t="s">
        <v>193</v>
      </c>
      <c r="P1356" t="s">
        <v>193</v>
      </c>
    </row>
    <row r="1357" spans="1:16" ht="12.75">
      <c r="A1357" s="62" t="str">
        <f t="shared" si="21"/>
        <v>Vietnam_GDP (current LCU)</v>
      </c>
      <c r="B1357" t="s">
        <v>535</v>
      </c>
      <c r="C1357" t="s">
        <v>232</v>
      </c>
      <c r="D1357" t="s">
        <v>430</v>
      </c>
      <c r="E1357" t="s">
        <v>431</v>
      </c>
      <c r="F1357">
        <v>272035997548544</v>
      </c>
      <c r="G1357">
        <v>313623008247808</v>
      </c>
      <c r="H1357">
        <v>361016999280640</v>
      </c>
      <c r="I1357">
        <v>399941985894400</v>
      </c>
      <c r="J1357">
        <v>441645984120832</v>
      </c>
      <c r="K1357">
        <v>481295008268288</v>
      </c>
      <c r="L1357">
        <v>535672012144640</v>
      </c>
      <c r="M1357">
        <v>613442998239232</v>
      </c>
      <c r="N1357">
        <v>713071005794304</v>
      </c>
      <c r="O1357">
        <v>839211980685312</v>
      </c>
      <c r="P1357">
        <v>973791022809088</v>
      </c>
    </row>
    <row r="1358" spans="1:16" ht="12.75">
      <c r="A1358" s="62" t="str">
        <f t="shared" si="21"/>
        <v>Vietnam_GDP (current US$)</v>
      </c>
      <c r="B1358" t="s">
        <v>535</v>
      </c>
      <c r="C1358" t="s">
        <v>232</v>
      </c>
      <c r="D1358" t="s">
        <v>432</v>
      </c>
      <c r="E1358" t="s">
        <v>433</v>
      </c>
      <c r="F1358">
        <v>24657469440</v>
      </c>
      <c r="G1358">
        <v>26843701248</v>
      </c>
      <c r="H1358">
        <v>27209601024</v>
      </c>
      <c r="I1358">
        <v>28683657216</v>
      </c>
      <c r="J1358">
        <v>31172517888</v>
      </c>
      <c r="K1358">
        <v>32506755072</v>
      </c>
      <c r="L1358">
        <v>35075432448</v>
      </c>
      <c r="M1358">
        <v>39552512000</v>
      </c>
      <c r="N1358">
        <v>45297356800</v>
      </c>
      <c r="O1358">
        <v>52917358592</v>
      </c>
      <c r="P1358">
        <v>60883820544</v>
      </c>
    </row>
    <row r="1359" spans="1:16" ht="12.75">
      <c r="A1359" s="62" t="str">
        <f t="shared" si="21"/>
        <v>Vietnam_GDP per capita, PPP (current international $)</v>
      </c>
      <c r="B1359" t="s">
        <v>535</v>
      </c>
      <c r="C1359" t="s">
        <v>232</v>
      </c>
      <c r="D1359" t="s">
        <v>434</v>
      </c>
      <c r="E1359" t="s">
        <v>435</v>
      </c>
      <c r="F1359">
        <v>1562.99997247165</v>
      </c>
      <c r="G1359">
        <v>1692.23316697397</v>
      </c>
      <c r="H1359">
        <v>1784.59777113479</v>
      </c>
      <c r="I1359">
        <v>1872.45674997937</v>
      </c>
      <c r="J1359">
        <v>2039.96499051102</v>
      </c>
      <c r="K1359">
        <v>2203.33443579337</v>
      </c>
      <c r="L1359">
        <v>2369.26104474925</v>
      </c>
      <c r="M1359">
        <v>2557.2565463732</v>
      </c>
      <c r="N1359">
        <v>2789.85176591085</v>
      </c>
      <c r="O1359">
        <v>3076.10214011875</v>
      </c>
      <c r="P1359">
        <v>3383.8762326337</v>
      </c>
    </row>
    <row r="1360" spans="1:16" ht="12.75">
      <c r="A1360" s="62" t="str">
        <f t="shared" si="21"/>
        <v>Vietnam_GDP per capita, PPP (constant 2000 international $)</v>
      </c>
      <c r="B1360" t="s">
        <v>535</v>
      </c>
      <c r="C1360" t="s">
        <v>232</v>
      </c>
      <c r="D1360" t="s">
        <v>436</v>
      </c>
      <c r="E1360" t="s">
        <v>437</v>
      </c>
      <c r="F1360">
        <v>1665.51123161588</v>
      </c>
      <c r="G1360">
        <v>1773.5950439201</v>
      </c>
      <c r="H1360">
        <v>1849.84797926074</v>
      </c>
      <c r="I1360">
        <v>1913.27359824836</v>
      </c>
      <c r="J1360">
        <v>2039.96499051102</v>
      </c>
      <c r="K1360">
        <v>2151.50872337304</v>
      </c>
      <c r="L1360">
        <v>2273.74081455816</v>
      </c>
      <c r="M1360">
        <v>2405.20544304448</v>
      </c>
      <c r="N1360">
        <v>2556.87854810665</v>
      </c>
      <c r="O1360">
        <v>2736.67444734472</v>
      </c>
      <c r="P1360">
        <v>2924.84415271756</v>
      </c>
    </row>
    <row r="1361" spans="1:16" ht="12.75">
      <c r="A1361" s="62" t="str">
        <f t="shared" si="21"/>
        <v>Vietnam_GINI index</v>
      </c>
      <c r="B1361" t="s">
        <v>535</v>
      </c>
      <c r="C1361" t="s">
        <v>232</v>
      </c>
      <c r="D1361" t="s">
        <v>438</v>
      </c>
      <c r="E1361" t="s">
        <v>439</v>
      </c>
      <c r="F1361" t="s">
        <v>193</v>
      </c>
      <c r="G1361" t="s">
        <v>193</v>
      </c>
      <c r="H1361">
        <v>35.52</v>
      </c>
      <c r="I1361" t="s">
        <v>193</v>
      </c>
      <c r="J1361" t="s">
        <v>193</v>
      </c>
      <c r="K1361" t="s">
        <v>193</v>
      </c>
      <c r="L1361">
        <v>37.55</v>
      </c>
      <c r="M1361" t="s">
        <v>193</v>
      </c>
      <c r="N1361">
        <v>36.98</v>
      </c>
      <c r="O1361" t="s">
        <v>193</v>
      </c>
      <c r="P1361" t="s">
        <v>193</v>
      </c>
    </row>
    <row r="1362" spans="1:16" ht="12.75">
      <c r="A1362" s="62" t="str">
        <f t="shared" si="21"/>
        <v>West Bank and Gaza_Poverty headcount ratio at national poverty line (% of population)</v>
      </c>
      <c r="B1362" t="s">
        <v>536</v>
      </c>
      <c r="C1362" t="s">
        <v>195</v>
      </c>
      <c r="D1362" t="s">
        <v>408</v>
      </c>
      <c r="E1362" t="s">
        <v>409</v>
      </c>
      <c r="F1362" t="s">
        <v>193</v>
      </c>
      <c r="G1362" t="s">
        <v>193</v>
      </c>
      <c r="H1362" t="s">
        <v>193</v>
      </c>
      <c r="I1362" t="s">
        <v>193</v>
      </c>
      <c r="J1362" t="s">
        <v>193</v>
      </c>
      <c r="K1362" t="s">
        <v>193</v>
      </c>
      <c r="L1362" t="s">
        <v>193</v>
      </c>
      <c r="M1362" t="s">
        <v>193</v>
      </c>
      <c r="N1362" t="s">
        <v>193</v>
      </c>
      <c r="O1362" t="s">
        <v>193</v>
      </c>
      <c r="P1362" t="s">
        <v>193</v>
      </c>
    </row>
    <row r="1363" spans="1:16" ht="12.75">
      <c r="A1363" s="62" t="str">
        <f t="shared" si="21"/>
        <v>West Bank and Gaza_Poverty headcount ratio at $2 a day (PPP) (% of population)</v>
      </c>
      <c r="B1363" t="s">
        <v>536</v>
      </c>
      <c r="C1363" t="s">
        <v>195</v>
      </c>
      <c r="D1363" t="s">
        <v>410</v>
      </c>
      <c r="E1363" t="s">
        <v>411</v>
      </c>
      <c r="F1363" t="s">
        <v>193</v>
      </c>
      <c r="G1363" t="s">
        <v>193</v>
      </c>
      <c r="H1363" t="s">
        <v>193</v>
      </c>
      <c r="I1363" t="s">
        <v>193</v>
      </c>
      <c r="J1363" t="s">
        <v>193</v>
      </c>
      <c r="K1363" t="s">
        <v>193</v>
      </c>
      <c r="L1363" t="s">
        <v>193</v>
      </c>
      <c r="M1363" t="s">
        <v>193</v>
      </c>
      <c r="N1363" t="s">
        <v>193</v>
      </c>
      <c r="O1363" t="s">
        <v>193</v>
      </c>
      <c r="P1363" t="s">
        <v>193</v>
      </c>
    </row>
    <row r="1364" spans="1:16" ht="12.75">
      <c r="A1364" s="62" t="str">
        <f t="shared" si="21"/>
        <v>West Bank and Gaza_Poverty headcount ratio at $1 a day (PPP) (% of population)</v>
      </c>
      <c r="B1364" t="s">
        <v>536</v>
      </c>
      <c r="C1364" t="s">
        <v>195</v>
      </c>
      <c r="D1364" t="s">
        <v>412</v>
      </c>
      <c r="E1364" t="s">
        <v>413</v>
      </c>
      <c r="F1364" t="s">
        <v>193</v>
      </c>
      <c r="G1364" t="s">
        <v>193</v>
      </c>
      <c r="H1364" t="s">
        <v>193</v>
      </c>
      <c r="I1364" t="s">
        <v>193</v>
      </c>
      <c r="J1364" t="s">
        <v>193</v>
      </c>
      <c r="K1364" t="s">
        <v>193</v>
      </c>
      <c r="L1364" t="s">
        <v>193</v>
      </c>
      <c r="M1364" t="s">
        <v>193</v>
      </c>
      <c r="N1364" t="s">
        <v>193</v>
      </c>
      <c r="O1364" t="s">
        <v>193</v>
      </c>
      <c r="P1364" t="s">
        <v>193</v>
      </c>
    </row>
    <row r="1365" spans="1:16" ht="12.75">
      <c r="A1365" s="62" t="str">
        <f t="shared" si="21"/>
        <v>West Bank and Gaza_Poverty gap at $1 a day (PPP) (%)</v>
      </c>
      <c r="B1365" t="s">
        <v>536</v>
      </c>
      <c r="C1365" t="s">
        <v>195</v>
      </c>
      <c r="D1365" t="s">
        <v>414</v>
      </c>
      <c r="E1365" t="s">
        <v>415</v>
      </c>
      <c r="F1365" t="s">
        <v>193</v>
      </c>
      <c r="G1365" t="s">
        <v>193</v>
      </c>
      <c r="H1365" t="s">
        <v>193</v>
      </c>
      <c r="I1365" t="s">
        <v>193</v>
      </c>
      <c r="J1365" t="s">
        <v>193</v>
      </c>
      <c r="K1365" t="s">
        <v>193</v>
      </c>
      <c r="L1365" t="s">
        <v>193</v>
      </c>
      <c r="M1365" t="s">
        <v>193</v>
      </c>
      <c r="N1365" t="s">
        <v>193</v>
      </c>
      <c r="O1365" t="s">
        <v>193</v>
      </c>
      <c r="P1365" t="s">
        <v>193</v>
      </c>
    </row>
    <row r="1366" spans="1:16" ht="12.75">
      <c r="A1366" s="62" t="str">
        <f t="shared" si="21"/>
        <v>West Bank and Gaza_Poverty gap at $2 a day (PPP) (%)</v>
      </c>
      <c r="B1366" t="s">
        <v>536</v>
      </c>
      <c r="C1366" t="s">
        <v>195</v>
      </c>
      <c r="D1366" t="s">
        <v>416</v>
      </c>
      <c r="E1366" t="s">
        <v>417</v>
      </c>
      <c r="F1366" t="s">
        <v>193</v>
      </c>
      <c r="G1366" t="s">
        <v>193</v>
      </c>
      <c r="H1366" t="s">
        <v>193</v>
      </c>
      <c r="I1366" t="s">
        <v>193</v>
      </c>
      <c r="J1366" t="s">
        <v>193</v>
      </c>
      <c r="K1366" t="s">
        <v>193</v>
      </c>
      <c r="L1366" t="s">
        <v>193</v>
      </c>
      <c r="M1366" t="s">
        <v>193</v>
      </c>
      <c r="N1366" t="s">
        <v>193</v>
      </c>
      <c r="O1366" t="s">
        <v>193</v>
      </c>
      <c r="P1366" t="s">
        <v>193</v>
      </c>
    </row>
    <row r="1367" spans="1:16" ht="12.75">
      <c r="A1367" s="62" t="str">
        <f t="shared" si="21"/>
        <v>West Bank and Gaza_Population, total</v>
      </c>
      <c r="B1367" t="s">
        <v>536</v>
      </c>
      <c r="C1367" t="s">
        <v>195</v>
      </c>
      <c r="D1367" t="s">
        <v>418</v>
      </c>
      <c r="E1367" t="s">
        <v>419</v>
      </c>
      <c r="F1367">
        <v>2518000</v>
      </c>
      <c r="G1367">
        <v>2628000</v>
      </c>
      <c r="H1367">
        <v>2731000</v>
      </c>
      <c r="I1367">
        <v>2842000</v>
      </c>
      <c r="J1367">
        <v>2966000</v>
      </c>
      <c r="K1367">
        <v>3096000</v>
      </c>
      <c r="L1367">
        <v>3231000</v>
      </c>
      <c r="M1367">
        <v>3366702</v>
      </c>
      <c r="N1367">
        <v>3508103.484</v>
      </c>
      <c r="O1367">
        <v>3626000</v>
      </c>
      <c r="P1367">
        <v>3740885.62617021</v>
      </c>
    </row>
    <row r="1368" spans="1:16" ht="12.75">
      <c r="A1368" s="62" t="str">
        <f t="shared" si="21"/>
        <v>West Bank and Gaza_Public spending on education, total (% of GDP)</v>
      </c>
      <c r="B1368" t="s">
        <v>536</v>
      </c>
      <c r="C1368" t="s">
        <v>195</v>
      </c>
      <c r="D1368" t="s">
        <v>420</v>
      </c>
      <c r="E1368" t="s">
        <v>421</v>
      </c>
      <c r="F1368" t="s">
        <v>193</v>
      </c>
      <c r="G1368" t="s">
        <v>193</v>
      </c>
      <c r="H1368" t="s">
        <v>193</v>
      </c>
      <c r="I1368" t="s">
        <v>193</v>
      </c>
      <c r="J1368" t="s">
        <v>193</v>
      </c>
      <c r="K1368" t="s">
        <v>193</v>
      </c>
      <c r="L1368" t="s">
        <v>193</v>
      </c>
      <c r="M1368" t="s">
        <v>193</v>
      </c>
      <c r="N1368" t="s">
        <v>193</v>
      </c>
      <c r="O1368" t="s">
        <v>193</v>
      </c>
      <c r="P1368" t="s">
        <v>193</v>
      </c>
    </row>
    <row r="1369" spans="1:16" ht="12.75">
      <c r="A1369" s="62" t="str">
        <f t="shared" si="21"/>
        <v>West Bank and Gaza_Public spending on education, total (% of government expenditure)</v>
      </c>
      <c r="B1369" t="s">
        <v>536</v>
      </c>
      <c r="C1369" t="s">
        <v>195</v>
      </c>
      <c r="D1369" t="s">
        <v>422</v>
      </c>
      <c r="E1369" t="s">
        <v>423</v>
      </c>
      <c r="F1369" t="s">
        <v>193</v>
      </c>
      <c r="G1369" t="s">
        <v>193</v>
      </c>
      <c r="H1369" t="s">
        <v>193</v>
      </c>
      <c r="I1369" t="s">
        <v>193</v>
      </c>
      <c r="J1369" t="s">
        <v>193</v>
      </c>
      <c r="K1369" t="s">
        <v>193</v>
      </c>
      <c r="L1369" t="s">
        <v>193</v>
      </c>
      <c r="M1369" t="s">
        <v>193</v>
      </c>
      <c r="N1369" t="s">
        <v>193</v>
      </c>
      <c r="O1369" t="s">
        <v>193</v>
      </c>
      <c r="P1369" t="s">
        <v>193</v>
      </c>
    </row>
    <row r="1370" spans="1:16" ht="12.75">
      <c r="A1370" s="62" t="str">
        <f t="shared" si="21"/>
        <v>West Bank and Gaza_Health expenditure, public (% of total health expenditure)</v>
      </c>
      <c r="B1370" t="s">
        <v>536</v>
      </c>
      <c r="C1370" t="s">
        <v>195</v>
      </c>
      <c r="D1370" t="s">
        <v>424</v>
      </c>
      <c r="E1370" t="s">
        <v>425</v>
      </c>
      <c r="F1370" t="s">
        <v>193</v>
      </c>
      <c r="G1370" t="s">
        <v>193</v>
      </c>
      <c r="H1370" t="s">
        <v>193</v>
      </c>
      <c r="I1370" t="s">
        <v>193</v>
      </c>
      <c r="J1370" t="s">
        <v>193</v>
      </c>
      <c r="K1370" t="s">
        <v>193</v>
      </c>
      <c r="L1370" t="s">
        <v>193</v>
      </c>
      <c r="M1370">
        <v>60</v>
      </c>
      <c r="N1370" t="s">
        <v>193</v>
      </c>
      <c r="O1370" t="s">
        <v>193</v>
      </c>
      <c r="P1370" t="s">
        <v>193</v>
      </c>
    </row>
    <row r="1371" spans="1:16" ht="12.75">
      <c r="A1371" s="62" t="str">
        <f t="shared" si="21"/>
        <v>West Bank and Gaza_Health expenditure, public (% of GDP)</v>
      </c>
      <c r="B1371" t="s">
        <v>536</v>
      </c>
      <c r="C1371" t="s">
        <v>195</v>
      </c>
      <c r="D1371" t="s">
        <v>426</v>
      </c>
      <c r="E1371" t="s">
        <v>427</v>
      </c>
      <c r="F1371" t="s">
        <v>193</v>
      </c>
      <c r="G1371" t="s">
        <v>193</v>
      </c>
      <c r="H1371" t="s">
        <v>193</v>
      </c>
      <c r="I1371" t="s">
        <v>193</v>
      </c>
      <c r="J1371" t="s">
        <v>193</v>
      </c>
      <c r="K1371" t="s">
        <v>193</v>
      </c>
      <c r="L1371" t="s">
        <v>193</v>
      </c>
      <c r="M1371">
        <v>7.8</v>
      </c>
      <c r="N1371" t="s">
        <v>193</v>
      </c>
      <c r="O1371" t="s">
        <v>193</v>
      </c>
      <c r="P1371" t="s">
        <v>193</v>
      </c>
    </row>
    <row r="1372" spans="1:16" ht="12.75">
      <c r="A1372" s="62" t="str">
        <f t="shared" si="21"/>
        <v>West Bank and Gaza_Health expenditure, total (% of GDP)</v>
      </c>
      <c r="B1372" t="s">
        <v>536</v>
      </c>
      <c r="C1372" t="s">
        <v>195</v>
      </c>
      <c r="D1372" t="s">
        <v>428</v>
      </c>
      <c r="E1372" t="s">
        <v>429</v>
      </c>
      <c r="F1372" t="s">
        <v>193</v>
      </c>
      <c r="G1372" t="s">
        <v>193</v>
      </c>
      <c r="H1372" t="s">
        <v>193</v>
      </c>
      <c r="I1372" t="s">
        <v>193</v>
      </c>
      <c r="J1372" t="s">
        <v>193</v>
      </c>
      <c r="K1372" t="s">
        <v>193</v>
      </c>
      <c r="L1372" t="s">
        <v>193</v>
      </c>
      <c r="M1372">
        <v>13</v>
      </c>
      <c r="N1372" t="s">
        <v>193</v>
      </c>
      <c r="O1372" t="s">
        <v>193</v>
      </c>
      <c r="P1372" t="s">
        <v>193</v>
      </c>
    </row>
    <row r="1373" spans="1:16" ht="12.75">
      <c r="A1373" s="62" t="str">
        <f t="shared" si="21"/>
        <v>West Bank and Gaza_GDP (current LCU)</v>
      </c>
      <c r="B1373" t="s">
        <v>536</v>
      </c>
      <c r="C1373" t="s">
        <v>195</v>
      </c>
      <c r="D1373" t="s">
        <v>430</v>
      </c>
      <c r="E1373" t="s">
        <v>431</v>
      </c>
      <c r="F1373">
        <v>10728541184</v>
      </c>
      <c r="G1373">
        <v>12768299008</v>
      </c>
      <c r="H1373">
        <v>14989128704</v>
      </c>
      <c r="I1373">
        <v>17257992192</v>
      </c>
      <c r="J1373">
        <v>16771000320</v>
      </c>
      <c r="K1373">
        <v>14014999552</v>
      </c>
      <c r="L1373">
        <v>13420000256</v>
      </c>
      <c r="M1373">
        <v>14307000320</v>
      </c>
      <c r="N1373">
        <v>16165999616</v>
      </c>
      <c r="O1373">
        <v>18022000640</v>
      </c>
      <c r="P1373">
        <v>18222940160</v>
      </c>
    </row>
    <row r="1374" spans="1:16" ht="12.75">
      <c r="A1374" s="62" t="str">
        <f t="shared" si="21"/>
        <v>West Bank and Gaza_GDP (current US$)</v>
      </c>
      <c r="B1374" t="s">
        <v>536</v>
      </c>
      <c r="C1374" t="s">
        <v>195</v>
      </c>
      <c r="D1374" t="s">
        <v>432</v>
      </c>
      <c r="E1374" t="s">
        <v>433</v>
      </c>
      <c r="F1374">
        <v>3361387520</v>
      </c>
      <c r="G1374">
        <v>3701278208</v>
      </c>
      <c r="H1374">
        <v>3944403712</v>
      </c>
      <c r="I1374">
        <v>4168899328</v>
      </c>
      <c r="J1374">
        <v>4113261312</v>
      </c>
      <c r="K1374">
        <v>3332382208</v>
      </c>
      <c r="L1374">
        <v>2832538368</v>
      </c>
      <c r="M1374">
        <v>3144395520</v>
      </c>
      <c r="N1374">
        <v>3608482048</v>
      </c>
      <c r="O1374">
        <v>4013808384</v>
      </c>
      <c r="P1374">
        <v>4058561280</v>
      </c>
    </row>
    <row r="1375" spans="1:16" ht="12.75">
      <c r="A1375" s="62" t="str">
        <f t="shared" si="21"/>
        <v>West Bank and Gaza_GDP per capita, PPP (current international $)</v>
      </c>
      <c r="B1375" t="s">
        <v>536</v>
      </c>
      <c r="C1375" t="s">
        <v>195</v>
      </c>
      <c r="D1375" t="s">
        <v>434</v>
      </c>
      <c r="E1375" t="s">
        <v>435</v>
      </c>
      <c r="F1375" t="s">
        <v>193</v>
      </c>
      <c r="G1375" t="s">
        <v>193</v>
      </c>
      <c r="H1375" t="s">
        <v>193</v>
      </c>
      <c r="I1375" t="s">
        <v>193</v>
      </c>
      <c r="J1375" t="s">
        <v>193</v>
      </c>
      <c r="K1375" t="s">
        <v>193</v>
      </c>
      <c r="L1375" t="s">
        <v>193</v>
      </c>
      <c r="M1375" t="s">
        <v>193</v>
      </c>
      <c r="N1375" t="s">
        <v>193</v>
      </c>
      <c r="O1375" t="s">
        <v>193</v>
      </c>
      <c r="P1375" t="s">
        <v>193</v>
      </c>
    </row>
    <row r="1376" spans="1:16" ht="12.75">
      <c r="A1376" s="62" t="str">
        <f t="shared" si="21"/>
        <v>West Bank and Gaza_GDP per capita, PPP (constant 2000 international $)</v>
      </c>
      <c r="B1376" t="s">
        <v>536</v>
      </c>
      <c r="C1376" t="s">
        <v>195</v>
      </c>
      <c r="D1376" t="s">
        <v>436</v>
      </c>
      <c r="E1376" t="s">
        <v>437</v>
      </c>
      <c r="F1376" t="s">
        <v>193</v>
      </c>
      <c r="G1376" t="s">
        <v>193</v>
      </c>
      <c r="H1376" t="s">
        <v>193</v>
      </c>
      <c r="I1376" t="s">
        <v>193</v>
      </c>
      <c r="J1376" t="s">
        <v>193</v>
      </c>
      <c r="K1376" t="s">
        <v>193</v>
      </c>
      <c r="L1376" t="s">
        <v>193</v>
      </c>
      <c r="M1376" t="s">
        <v>193</v>
      </c>
      <c r="N1376" t="s">
        <v>193</v>
      </c>
      <c r="O1376" t="s">
        <v>193</v>
      </c>
      <c r="P1376" t="s">
        <v>193</v>
      </c>
    </row>
    <row r="1377" spans="1:16" ht="12.75">
      <c r="A1377" s="62" t="str">
        <f t="shared" si="21"/>
        <v>West Bank and Gaza_GINI index</v>
      </c>
      <c r="B1377" t="s">
        <v>536</v>
      </c>
      <c r="C1377" t="s">
        <v>195</v>
      </c>
      <c r="D1377" t="s">
        <v>438</v>
      </c>
      <c r="E1377" t="s">
        <v>439</v>
      </c>
      <c r="F1377" t="s">
        <v>193</v>
      </c>
      <c r="G1377" t="s">
        <v>193</v>
      </c>
      <c r="H1377" t="s">
        <v>193</v>
      </c>
      <c r="I1377" t="s">
        <v>193</v>
      </c>
      <c r="J1377" t="s">
        <v>193</v>
      </c>
      <c r="K1377" t="s">
        <v>193</v>
      </c>
      <c r="L1377" t="s">
        <v>193</v>
      </c>
      <c r="M1377" t="s">
        <v>193</v>
      </c>
      <c r="N1377" t="s">
        <v>193</v>
      </c>
      <c r="O1377" t="s">
        <v>193</v>
      </c>
      <c r="P1377" t="s">
        <v>193</v>
      </c>
    </row>
    <row r="1378" spans="1:16" ht="12.75">
      <c r="A1378" s="62" t="str">
        <f t="shared" si="21"/>
        <v>Yemen, Rep._Poverty headcount ratio at national poverty line (% of population)</v>
      </c>
      <c r="B1378" t="s">
        <v>537</v>
      </c>
      <c r="C1378" t="s">
        <v>538</v>
      </c>
      <c r="D1378" t="s">
        <v>408</v>
      </c>
      <c r="E1378" t="s">
        <v>409</v>
      </c>
      <c r="F1378" t="s">
        <v>193</v>
      </c>
      <c r="G1378" t="s">
        <v>193</v>
      </c>
      <c r="H1378">
        <v>41.8</v>
      </c>
      <c r="I1378" t="s">
        <v>193</v>
      </c>
      <c r="J1378" t="s">
        <v>193</v>
      </c>
      <c r="K1378" t="s">
        <v>193</v>
      </c>
      <c r="L1378" t="s">
        <v>193</v>
      </c>
      <c r="M1378" t="s">
        <v>193</v>
      </c>
      <c r="N1378" t="s">
        <v>193</v>
      </c>
      <c r="O1378" t="s">
        <v>193</v>
      </c>
      <c r="P1378" t="s">
        <v>193</v>
      </c>
    </row>
    <row r="1379" spans="1:16" ht="12.75">
      <c r="A1379" s="62" t="str">
        <f aca="true" t="shared" si="22" ref="A1379:A1409">C1379&amp;"_"&amp;E1379</f>
        <v>Yemen, Rep._Poverty headcount ratio at $2 a day (PPP) (% of population)</v>
      </c>
      <c r="B1379" t="s">
        <v>537</v>
      </c>
      <c r="C1379" t="s">
        <v>538</v>
      </c>
      <c r="D1379" t="s">
        <v>410</v>
      </c>
      <c r="E1379" t="s">
        <v>411</v>
      </c>
      <c r="F1379" t="s">
        <v>193</v>
      </c>
      <c r="G1379" t="s">
        <v>193</v>
      </c>
      <c r="H1379">
        <v>45.24</v>
      </c>
      <c r="I1379" t="s">
        <v>193</v>
      </c>
      <c r="J1379" t="s">
        <v>193</v>
      </c>
      <c r="K1379" t="s">
        <v>193</v>
      </c>
      <c r="L1379" t="s">
        <v>193</v>
      </c>
      <c r="M1379" t="s">
        <v>193</v>
      </c>
      <c r="N1379" t="s">
        <v>193</v>
      </c>
      <c r="O1379" t="s">
        <v>193</v>
      </c>
      <c r="P1379" t="s">
        <v>193</v>
      </c>
    </row>
    <row r="1380" spans="1:16" ht="12.75">
      <c r="A1380" s="62" t="str">
        <f t="shared" si="22"/>
        <v>Yemen, Rep._Poverty headcount ratio at $1 a day (PPP) (% of population)</v>
      </c>
      <c r="B1380" t="s">
        <v>537</v>
      </c>
      <c r="C1380" t="s">
        <v>538</v>
      </c>
      <c r="D1380" t="s">
        <v>412</v>
      </c>
      <c r="E1380" t="s">
        <v>413</v>
      </c>
      <c r="F1380" t="s">
        <v>193</v>
      </c>
      <c r="G1380" t="s">
        <v>193</v>
      </c>
      <c r="H1380">
        <v>15.7</v>
      </c>
      <c r="I1380" t="s">
        <v>193</v>
      </c>
      <c r="J1380" t="s">
        <v>193</v>
      </c>
      <c r="K1380" t="s">
        <v>193</v>
      </c>
      <c r="L1380" t="s">
        <v>193</v>
      </c>
      <c r="M1380" t="s">
        <v>193</v>
      </c>
      <c r="N1380" t="s">
        <v>193</v>
      </c>
      <c r="O1380" t="s">
        <v>193</v>
      </c>
      <c r="P1380" t="s">
        <v>193</v>
      </c>
    </row>
    <row r="1381" spans="1:16" ht="12.75">
      <c r="A1381" s="62" t="str">
        <f t="shared" si="22"/>
        <v>Yemen, Rep._Poverty gap at $1 a day (PPP) (%)</v>
      </c>
      <c r="B1381" t="s">
        <v>537</v>
      </c>
      <c r="C1381" t="s">
        <v>538</v>
      </c>
      <c r="D1381" t="s">
        <v>414</v>
      </c>
      <c r="E1381" t="s">
        <v>415</v>
      </c>
      <c r="F1381" t="s">
        <v>193</v>
      </c>
      <c r="G1381" t="s">
        <v>193</v>
      </c>
      <c r="H1381">
        <v>4.5</v>
      </c>
      <c r="I1381" t="s">
        <v>193</v>
      </c>
      <c r="J1381" t="s">
        <v>193</v>
      </c>
      <c r="K1381" t="s">
        <v>193</v>
      </c>
      <c r="L1381" t="s">
        <v>193</v>
      </c>
      <c r="M1381" t="s">
        <v>193</v>
      </c>
      <c r="N1381" t="s">
        <v>193</v>
      </c>
      <c r="O1381" t="s">
        <v>193</v>
      </c>
      <c r="P1381" t="s">
        <v>193</v>
      </c>
    </row>
    <row r="1382" spans="1:16" ht="12.75">
      <c r="A1382" s="62" t="str">
        <f t="shared" si="22"/>
        <v>Yemen, Rep._Poverty gap at $2 a day (PPP) (%)</v>
      </c>
      <c r="B1382" t="s">
        <v>537</v>
      </c>
      <c r="C1382" t="s">
        <v>538</v>
      </c>
      <c r="D1382" t="s">
        <v>416</v>
      </c>
      <c r="E1382" t="s">
        <v>417</v>
      </c>
      <c r="F1382" t="s">
        <v>193</v>
      </c>
      <c r="G1382" t="s">
        <v>193</v>
      </c>
      <c r="H1382">
        <v>14.98</v>
      </c>
      <c r="I1382" t="s">
        <v>193</v>
      </c>
      <c r="J1382" t="s">
        <v>193</v>
      </c>
      <c r="K1382" t="s">
        <v>193</v>
      </c>
      <c r="L1382" t="s">
        <v>193</v>
      </c>
      <c r="M1382" t="s">
        <v>193</v>
      </c>
      <c r="N1382" t="s">
        <v>193</v>
      </c>
      <c r="O1382" t="s">
        <v>193</v>
      </c>
      <c r="P1382" t="s">
        <v>193</v>
      </c>
    </row>
    <row r="1383" spans="1:16" ht="12.75">
      <c r="A1383" s="62" t="str">
        <f t="shared" si="22"/>
        <v>Yemen, Rep._Population, total</v>
      </c>
      <c r="B1383" t="s">
        <v>537</v>
      </c>
      <c r="C1383" t="s">
        <v>538</v>
      </c>
      <c r="D1383" t="s">
        <v>418</v>
      </c>
      <c r="E1383" t="s">
        <v>419</v>
      </c>
      <c r="F1383">
        <v>15795544</v>
      </c>
      <c r="G1383">
        <v>16338987</v>
      </c>
      <c r="H1383">
        <v>16863116</v>
      </c>
      <c r="I1383">
        <v>17390102</v>
      </c>
      <c r="J1383">
        <v>17936592</v>
      </c>
      <c r="K1383">
        <v>18505998</v>
      </c>
      <c r="L1383">
        <v>19094366</v>
      </c>
      <c r="M1383">
        <v>19702418</v>
      </c>
      <c r="N1383">
        <v>20329354</v>
      </c>
      <c r="O1383">
        <v>20974655</v>
      </c>
      <c r="P1383">
        <v>21634129.7432642</v>
      </c>
    </row>
    <row r="1384" spans="1:16" ht="12.75">
      <c r="A1384" s="62" t="str">
        <f t="shared" si="22"/>
        <v>Yemen, Rep._Public spending on education, total (% of GDP)</v>
      </c>
      <c r="B1384" t="s">
        <v>537</v>
      </c>
      <c r="C1384" t="s">
        <v>538</v>
      </c>
      <c r="D1384" t="s">
        <v>420</v>
      </c>
      <c r="E1384" t="s">
        <v>421</v>
      </c>
      <c r="F1384" t="s">
        <v>193</v>
      </c>
      <c r="G1384" t="s">
        <v>193</v>
      </c>
      <c r="H1384" t="s">
        <v>193</v>
      </c>
      <c r="I1384" t="s">
        <v>193</v>
      </c>
      <c r="J1384">
        <v>9.86420022940764</v>
      </c>
      <c r="K1384">
        <v>9.63685705947996</v>
      </c>
      <c r="L1384" t="s">
        <v>193</v>
      </c>
      <c r="M1384" t="s">
        <v>193</v>
      </c>
      <c r="N1384" t="s">
        <v>193</v>
      </c>
      <c r="O1384" t="s">
        <v>193</v>
      </c>
      <c r="P1384" t="s">
        <v>193</v>
      </c>
    </row>
    <row r="1385" spans="1:16" ht="12.75">
      <c r="A1385" s="62" t="str">
        <f t="shared" si="22"/>
        <v>Yemen, Rep._Public spending on education, total (% of government expenditure)</v>
      </c>
      <c r="B1385" t="s">
        <v>537</v>
      </c>
      <c r="C1385" t="s">
        <v>538</v>
      </c>
      <c r="D1385" t="s">
        <v>422</v>
      </c>
      <c r="E1385" t="s">
        <v>423</v>
      </c>
      <c r="F1385" t="s">
        <v>193</v>
      </c>
      <c r="G1385" t="s">
        <v>193</v>
      </c>
      <c r="H1385" t="s">
        <v>193</v>
      </c>
      <c r="I1385" t="s">
        <v>193</v>
      </c>
      <c r="J1385">
        <v>32.7815456297151</v>
      </c>
      <c r="K1385" t="s">
        <v>193</v>
      </c>
      <c r="L1385" t="s">
        <v>193</v>
      </c>
      <c r="M1385" t="s">
        <v>193</v>
      </c>
      <c r="N1385" t="s">
        <v>193</v>
      </c>
      <c r="O1385" t="s">
        <v>193</v>
      </c>
      <c r="P1385" t="s">
        <v>193</v>
      </c>
    </row>
    <row r="1386" spans="1:16" ht="12.75">
      <c r="A1386" s="62" t="str">
        <f t="shared" si="22"/>
        <v>Yemen, Rep._Health expenditure, public (% of total health expenditure)</v>
      </c>
      <c r="B1386" t="s">
        <v>537</v>
      </c>
      <c r="C1386" t="s">
        <v>538</v>
      </c>
      <c r="D1386" t="s">
        <v>424</v>
      </c>
      <c r="E1386" t="s">
        <v>425</v>
      </c>
      <c r="F1386" t="s">
        <v>193</v>
      </c>
      <c r="G1386" t="s">
        <v>193</v>
      </c>
      <c r="H1386" t="s">
        <v>193</v>
      </c>
      <c r="I1386" t="s">
        <v>193</v>
      </c>
      <c r="J1386">
        <v>41.9</v>
      </c>
      <c r="K1386">
        <v>41.3</v>
      </c>
      <c r="L1386">
        <v>38.3</v>
      </c>
      <c r="M1386">
        <v>39</v>
      </c>
      <c r="N1386">
        <v>38.3</v>
      </c>
      <c r="O1386" t="s">
        <v>193</v>
      </c>
      <c r="P1386" t="s">
        <v>193</v>
      </c>
    </row>
    <row r="1387" spans="1:16" ht="12.75">
      <c r="A1387" s="62" t="str">
        <f t="shared" si="22"/>
        <v>Yemen, Rep._Health expenditure, public (% of GDP)</v>
      </c>
      <c r="B1387" t="s">
        <v>537</v>
      </c>
      <c r="C1387" t="s">
        <v>538</v>
      </c>
      <c r="D1387" t="s">
        <v>426</v>
      </c>
      <c r="E1387" t="s">
        <v>427</v>
      </c>
      <c r="F1387" t="s">
        <v>193</v>
      </c>
      <c r="G1387" t="s">
        <v>193</v>
      </c>
      <c r="H1387" t="s">
        <v>193</v>
      </c>
      <c r="I1387" t="s">
        <v>193</v>
      </c>
      <c r="J1387">
        <v>1.8855</v>
      </c>
      <c r="K1387">
        <v>2.065</v>
      </c>
      <c r="L1387">
        <v>1.915</v>
      </c>
      <c r="M1387">
        <v>2.184</v>
      </c>
      <c r="N1387">
        <v>1.915</v>
      </c>
      <c r="O1387" t="s">
        <v>193</v>
      </c>
      <c r="P1387" t="s">
        <v>193</v>
      </c>
    </row>
    <row r="1388" spans="1:16" ht="12.75">
      <c r="A1388" s="62" t="str">
        <f t="shared" si="22"/>
        <v>Yemen, Rep._Health expenditure, total (% of GDP)</v>
      </c>
      <c r="B1388" t="s">
        <v>537</v>
      </c>
      <c r="C1388" t="s">
        <v>538</v>
      </c>
      <c r="D1388" t="s">
        <v>428</v>
      </c>
      <c r="E1388" t="s">
        <v>429</v>
      </c>
      <c r="F1388" t="s">
        <v>193</v>
      </c>
      <c r="G1388" t="s">
        <v>193</v>
      </c>
      <c r="H1388" t="s">
        <v>193</v>
      </c>
      <c r="I1388" t="s">
        <v>193</v>
      </c>
      <c r="J1388">
        <v>4.5</v>
      </c>
      <c r="K1388">
        <v>5</v>
      </c>
      <c r="L1388">
        <v>5</v>
      </c>
      <c r="M1388">
        <v>5.6</v>
      </c>
      <c r="N1388">
        <v>5</v>
      </c>
      <c r="O1388" t="s">
        <v>193</v>
      </c>
      <c r="P1388" t="s">
        <v>193</v>
      </c>
    </row>
    <row r="1389" spans="1:16" ht="12.75">
      <c r="A1389" s="62" t="str">
        <f t="shared" si="22"/>
        <v>Yemen, Rep._GDP (current LCU)</v>
      </c>
      <c r="B1389" t="s">
        <v>537</v>
      </c>
      <c r="C1389" t="s">
        <v>538</v>
      </c>
      <c r="D1389" t="s">
        <v>430</v>
      </c>
      <c r="E1389" t="s">
        <v>431</v>
      </c>
      <c r="F1389">
        <v>742709002240</v>
      </c>
      <c r="G1389">
        <v>896766967808</v>
      </c>
      <c r="H1389">
        <v>858200997888</v>
      </c>
      <c r="I1389">
        <v>1162876026880</v>
      </c>
      <c r="J1389">
        <v>1526856155136</v>
      </c>
      <c r="K1389">
        <v>1595564752896</v>
      </c>
      <c r="L1389">
        <v>1739165532160</v>
      </c>
      <c r="M1389">
        <v>2019171237888</v>
      </c>
      <c r="N1389">
        <v>2563489923072</v>
      </c>
      <c r="O1389">
        <v>3206976110592</v>
      </c>
      <c r="P1389">
        <v>3755122098176</v>
      </c>
    </row>
    <row r="1390" spans="1:16" ht="12.75">
      <c r="A1390" s="62" t="str">
        <f t="shared" si="22"/>
        <v>Yemen, Rep._GDP (current US$)</v>
      </c>
      <c r="B1390" t="s">
        <v>537</v>
      </c>
      <c r="C1390" t="s">
        <v>538</v>
      </c>
      <c r="D1390" t="s">
        <v>432</v>
      </c>
      <c r="E1390" t="s">
        <v>433</v>
      </c>
      <c r="F1390">
        <v>5793814016</v>
      </c>
      <c r="G1390">
        <v>6936303616</v>
      </c>
      <c r="H1390">
        <v>6318571520</v>
      </c>
      <c r="I1390">
        <v>7467832832</v>
      </c>
      <c r="J1390">
        <v>9441473536</v>
      </c>
      <c r="K1390">
        <v>9459570688</v>
      </c>
      <c r="L1390">
        <v>9902722048</v>
      </c>
      <c r="M1390">
        <v>11006776320</v>
      </c>
      <c r="N1390">
        <v>13873501184</v>
      </c>
      <c r="O1390">
        <v>16745824256</v>
      </c>
      <c r="P1390">
        <v>19056695296</v>
      </c>
    </row>
    <row r="1391" spans="1:16" ht="12.75">
      <c r="A1391" s="62" t="str">
        <f t="shared" si="22"/>
        <v>Yemen, Rep._GDP per capita, PPP (current international $)</v>
      </c>
      <c r="B1391" t="s">
        <v>537</v>
      </c>
      <c r="C1391" t="s">
        <v>538</v>
      </c>
      <c r="D1391" t="s">
        <v>434</v>
      </c>
      <c r="E1391" t="s">
        <v>435</v>
      </c>
      <c r="F1391">
        <v>710.500502927372</v>
      </c>
      <c r="G1391">
        <v>753.879913036023</v>
      </c>
      <c r="H1391">
        <v>786.356047529245</v>
      </c>
      <c r="I1391">
        <v>794.741793781517</v>
      </c>
      <c r="J1391">
        <v>821.966403134831</v>
      </c>
      <c r="K1391">
        <v>853.395786542708</v>
      </c>
      <c r="L1391">
        <v>874.395548389495</v>
      </c>
      <c r="M1391">
        <v>891.461289978795</v>
      </c>
      <c r="N1391">
        <v>921.865337716533</v>
      </c>
      <c r="O1391">
        <v>962.391530074712</v>
      </c>
      <c r="P1391">
        <v>992.289325817976</v>
      </c>
    </row>
    <row r="1392" spans="1:16" ht="12.75">
      <c r="A1392" s="62" t="str">
        <f t="shared" si="22"/>
        <v>Yemen, Rep._GDP per capita, PPP (constant 2000 international $)</v>
      </c>
      <c r="B1392" t="s">
        <v>537</v>
      </c>
      <c r="C1392" t="s">
        <v>538</v>
      </c>
      <c r="D1392" t="s">
        <v>436</v>
      </c>
      <c r="E1392" t="s">
        <v>437</v>
      </c>
      <c r="F1392">
        <v>757.099544808684</v>
      </c>
      <c r="G1392">
        <v>790.126150205738</v>
      </c>
      <c r="H1392">
        <v>815.107565990323</v>
      </c>
      <c r="I1392">
        <v>812.066015134115</v>
      </c>
      <c r="J1392">
        <v>821.966403134831</v>
      </c>
      <c r="K1392">
        <v>833.322644719298</v>
      </c>
      <c r="L1392">
        <v>839.143010791187</v>
      </c>
      <c r="M1392">
        <v>838.456176781075</v>
      </c>
      <c r="N1392">
        <v>844.882776587572</v>
      </c>
      <c r="O1392">
        <v>856.197937755987</v>
      </c>
      <c r="P1392">
        <v>857.682560737122</v>
      </c>
    </row>
    <row r="1393" spans="1:16" ht="12.75">
      <c r="A1393" s="62" t="str">
        <f t="shared" si="22"/>
        <v>Yemen, Rep._GINI index</v>
      </c>
      <c r="B1393" t="s">
        <v>537</v>
      </c>
      <c r="C1393" t="s">
        <v>538</v>
      </c>
      <c r="D1393" t="s">
        <v>438</v>
      </c>
      <c r="E1393" t="s">
        <v>439</v>
      </c>
      <c r="F1393" t="s">
        <v>193</v>
      </c>
      <c r="G1393" t="s">
        <v>193</v>
      </c>
      <c r="H1393">
        <v>33.44</v>
      </c>
      <c r="I1393" t="s">
        <v>193</v>
      </c>
      <c r="J1393" t="s">
        <v>193</v>
      </c>
      <c r="K1393" t="s">
        <v>193</v>
      </c>
      <c r="L1393" t="s">
        <v>193</v>
      </c>
      <c r="M1393" t="s">
        <v>193</v>
      </c>
      <c r="N1393" t="s">
        <v>193</v>
      </c>
      <c r="O1393" t="s">
        <v>193</v>
      </c>
      <c r="P1393" t="s">
        <v>193</v>
      </c>
    </row>
    <row r="1394" spans="1:16" ht="12.75">
      <c r="A1394" s="62" t="str">
        <f t="shared" si="22"/>
        <v>Ukraine_Poverty headcount ratio at national poverty line (% of population)</v>
      </c>
      <c r="B1394" t="s">
        <v>544</v>
      </c>
      <c r="C1394" t="s">
        <v>224</v>
      </c>
      <c r="D1394" t="s">
        <v>408</v>
      </c>
      <c r="E1394" t="s">
        <v>409</v>
      </c>
      <c r="F1394" t="s">
        <v>193</v>
      </c>
      <c r="G1394" t="s">
        <v>193</v>
      </c>
      <c r="H1394" t="s">
        <v>193</v>
      </c>
      <c r="I1394" t="s">
        <v>193</v>
      </c>
      <c r="J1394">
        <v>31.5</v>
      </c>
      <c r="K1394" t="s">
        <v>193</v>
      </c>
      <c r="L1394" t="s">
        <v>193</v>
      </c>
      <c r="M1394">
        <v>19.5</v>
      </c>
      <c r="N1394" t="s">
        <v>193</v>
      </c>
      <c r="O1394" t="s">
        <v>193</v>
      </c>
      <c r="P1394" t="s">
        <v>193</v>
      </c>
    </row>
    <row r="1395" spans="1:16" ht="12.75">
      <c r="A1395" s="62" t="str">
        <f t="shared" si="22"/>
        <v>Ukraine_Poverty headcount ratio at $2 a day (PPP) (% of population)</v>
      </c>
      <c r="B1395" t="s">
        <v>544</v>
      </c>
      <c r="C1395" t="s">
        <v>224</v>
      </c>
      <c r="D1395" t="s">
        <v>410</v>
      </c>
      <c r="E1395" t="s">
        <v>411</v>
      </c>
      <c r="F1395">
        <v>16.37</v>
      </c>
      <c r="G1395" t="s">
        <v>193</v>
      </c>
      <c r="H1395" t="s">
        <v>193</v>
      </c>
      <c r="I1395">
        <v>31.37</v>
      </c>
      <c r="J1395" t="s">
        <v>193</v>
      </c>
      <c r="K1395" t="s">
        <v>193</v>
      </c>
      <c r="L1395" t="s">
        <v>193</v>
      </c>
      <c r="M1395">
        <v>4.94</v>
      </c>
      <c r="N1395" t="s">
        <v>193</v>
      </c>
      <c r="O1395" t="s">
        <v>193</v>
      </c>
      <c r="P1395" t="s">
        <v>193</v>
      </c>
    </row>
    <row r="1396" spans="1:16" ht="12.75">
      <c r="A1396" s="62" t="str">
        <f t="shared" si="22"/>
        <v>Ukraine_Poverty headcount ratio at $1 a day (PPP) (% of population)</v>
      </c>
      <c r="B1396" t="s">
        <v>544</v>
      </c>
      <c r="C1396" t="s">
        <v>224</v>
      </c>
      <c r="D1396" t="s">
        <v>412</v>
      </c>
      <c r="E1396" t="s">
        <v>413</v>
      </c>
      <c r="F1396">
        <v>2.03</v>
      </c>
      <c r="G1396" t="s">
        <v>193</v>
      </c>
      <c r="H1396" t="s">
        <v>193</v>
      </c>
      <c r="I1396">
        <v>2.92</v>
      </c>
      <c r="J1396" t="s">
        <v>193</v>
      </c>
      <c r="K1396" t="s">
        <v>193</v>
      </c>
      <c r="L1396" t="s">
        <v>193</v>
      </c>
      <c r="M1396">
        <v>2</v>
      </c>
      <c r="N1396" t="s">
        <v>193</v>
      </c>
      <c r="O1396" t="s">
        <v>193</v>
      </c>
      <c r="P1396" t="s">
        <v>193</v>
      </c>
    </row>
    <row r="1397" spans="1:16" ht="12.75">
      <c r="A1397" s="62" t="str">
        <f t="shared" si="22"/>
        <v>Ukraine_Poverty gap at $1 a day (PPP) (%)</v>
      </c>
      <c r="B1397" t="s">
        <v>544</v>
      </c>
      <c r="C1397" t="s">
        <v>224</v>
      </c>
      <c r="D1397" t="s">
        <v>414</v>
      </c>
      <c r="E1397" t="s">
        <v>415</v>
      </c>
      <c r="F1397">
        <v>0.66</v>
      </c>
      <c r="G1397" t="s">
        <v>193</v>
      </c>
      <c r="H1397" t="s">
        <v>193</v>
      </c>
      <c r="I1397">
        <v>0.62</v>
      </c>
      <c r="J1397" t="s">
        <v>193</v>
      </c>
      <c r="K1397" t="s">
        <v>193</v>
      </c>
      <c r="L1397" t="s">
        <v>193</v>
      </c>
      <c r="M1397">
        <v>0.5</v>
      </c>
      <c r="N1397" t="s">
        <v>193</v>
      </c>
      <c r="O1397" t="s">
        <v>193</v>
      </c>
      <c r="P1397" t="s">
        <v>193</v>
      </c>
    </row>
    <row r="1398" spans="1:16" ht="12.75">
      <c r="A1398" s="62" t="str">
        <f t="shared" si="22"/>
        <v>Ukraine_Poverty gap at $2 a day (PPP) (%)</v>
      </c>
      <c r="B1398" t="s">
        <v>544</v>
      </c>
      <c r="C1398" t="s">
        <v>224</v>
      </c>
      <c r="D1398" t="s">
        <v>416</v>
      </c>
      <c r="E1398" t="s">
        <v>417</v>
      </c>
      <c r="F1398">
        <v>4.28</v>
      </c>
      <c r="G1398" t="s">
        <v>193</v>
      </c>
      <c r="H1398" t="s">
        <v>193</v>
      </c>
      <c r="I1398">
        <v>7.96</v>
      </c>
      <c r="J1398" t="s">
        <v>193</v>
      </c>
      <c r="K1398" t="s">
        <v>193</v>
      </c>
      <c r="L1398" t="s">
        <v>193</v>
      </c>
      <c r="M1398">
        <v>0.94</v>
      </c>
      <c r="N1398" t="s">
        <v>193</v>
      </c>
      <c r="O1398" t="s">
        <v>193</v>
      </c>
      <c r="P1398" t="s">
        <v>193</v>
      </c>
    </row>
    <row r="1399" spans="1:16" ht="12.75">
      <c r="A1399" s="62" t="str">
        <f t="shared" si="22"/>
        <v>Ukraine_Population, total</v>
      </c>
      <c r="B1399" t="s">
        <v>544</v>
      </c>
      <c r="C1399" t="s">
        <v>224</v>
      </c>
      <c r="D1399" t="s">
        <v>418</v>
      </c>
      <c r="E1399" t="s">
        <v>419</v>
      </c>
      <c r="F1399">
        <v>51057188.9809848</v>
      </c>
      <c r="G1399">
        <v>50594105.0194585</v>
      </c>
      <c r="H1399">
        <v>50143939.1300684</v>
      </c>
      <c r="I1399">
        <v>49673349.9915196</v>
      </c>
      <c r="J1399">
        <v>49175847.6425165</v>
      </c>
      <c r="K1399">
        <v>48683864.5779071</v>
      </c>
      <c r="L1399">
        <v>48202500</v>
      </c>
      <c r="M1399">
        <v>47812950</v>
      </c>
      <c r="N1399">
        <v>47441004</v>
      </c>
      <c r="O1399">
        <v>47075295</v>
      </c>
      <c r="P1399">
        <v>46571153.0375917</v>
      </c>
    </row>
    <row r="1400" spans="1:16" ht="12.75">
      <c r="A1400" s="62" t="str">
        <f t="shared" si="22"/>
        <v>Ukraine_Public spending on education, total (% of GDP)</v>
      </c>
      <c r="B1400" t="s">
        <v>544</v>
      </c>
      <c r="C1400" t="s">
        <v>224</v>
      </c>
      <c r="D1400" t="s">
        <v>420</v>
      </c>
      <c r="E1400" t="s">
        <v>421</v>
      </c>
      <c r="F1400" t="s">
        <v>193</v>
      </c>
      <c r="G1400" t="s">
        <v>193</v>
      </c>
      <c r="H1400" t="s">
        <v>193</v>
      </c>
      <c r="I1400">
        <v>3.61808306527669</v>
      </c>
      <c r="J1400">
        <v>4.1662256811891</v>
      </c>
      <c r="K1400">
        <v>4.68049349062696</v>
      </c>
      <c r="L1400">
        <v>5.43332876007747</v>
      </c>
      <c r="M1400">
        <v>5.60240732086527</v>
      </c>
      <c r="N1400">
        <v>5.3083192735953</v>
      </c>
      <c r="O1400">
        <v>6.39031009868445</v>
      </c>
      <c r="P1400" t="s">
        <v>193</v>
      </c>
    </row>
    <row r="1401" spans="1:16" ht="12.75">
      <c r="A1401" s="62" t="str">
        <f t="shared" si="22"/>
        <v>Ukraine_Public spending on education, total (% of government expenditure)</v>
      </c>
      <c r="B1401" t="s">
        <v>544</v>
      </c>
      <c r="C1401" t="s">
        <v>224</v>
      </c>
      <c r="D1401" t="s">
        <v>422</v>
      </c>
      <c r="E1401" t="s">
        <v>423</v>
      </c>
      <c r="F1401" t="s">
        <v>193</v>
      </c>
      <c r="G1401" t="s">
        <v>193</v>
      </c>
      <c r="H1401" t="s">
        <v>193</v>
      </c>
      <c r="I1401">
        <v>13.5536416347653</v>
      </c>
      <c r="J1401">
        <v>14.7159003584736</v>
      </c>
      <c r="K1401">
        <v>17.2113168131393</v>
      </c>
      <c r="L1401">
        <v>20.3402250372603</v>
      </c>
      <c r="M1401">
        <v>19.76145396972</v>
      </c>
      <c r="N1401">
        <v>18.0877070691313</v>
      </c>
      <c r="O1401">
        <v>18.8963176439252</v>
      </c>
      <c r="P1401" t="s">
        <v>193</v>
      </c>
    </row>
    <row r="1402" spans="1:16" ht="12.75">
      <c r="A1402" s="62" t="str">
        <f t="shared" si="22"/>
        <v>Ukraine_Health expenditure, public (% of total health expenditure)</v>
      </c>
      <c r="B1402" t="s">
        <v>544</v>
      </c>
      <c r="C1402" t="s">
        <v>224</v>
      </c>
      <c r="D1402" t="s">
        <v>424</v>
      </c>
      <c r="E1402" t="s">
        <v>425</v>
      </c>
      <c r="F1402" t="s">
        <v>193</v>
      </c>
      <c r="G1402" t="s">
        <v>193</v>
      </c>
      <c r="H1402" t="s">
        <v>193</v>
      </c>
      <c r="I1402" t="s">
        <v>193</v>
      </c>
      <c r="J1402">
        <v>49.5</v>
      </c>
      <c r="K1402">
        <v>50.8</v>
      </c>
      <c r="L1402">
        <v>52.6</v>
      </c>
      <c r="M1402">
        <v>55.5</v>
      </c>
      <c r="N1402">
        <v>56.7</v>
      </c>
      <c r="O1402" t="s">
        <v>193</v>
      </c>
      <c r="P1402" t="s">
        <v>193</v>
      </c>
    </row>
    <row r="1403" spans="1:16" ht="12.75">
      <c r="A1403" s="62" t="str">
        <f t="shared" si="22"/>
        <v>Ukraine_Health expenditure, public (% of GDP)</v>
      </c>
      <c r="B1403" t="s">
        <v>544</v>
      </c>
      <c r="C1403" t="s">
        <v>224</v>
      </c>
      <c r="D1403" t="s">
        <v>426</v>
      </c>
      <c r="E1403" t="s">
        <v>427</v>
      </c>
      <c r="F1403" t="s">
        <v>193</v>
      </c>
      <c r="G1403" t="s">
        <v>193</v>
      </c>
      <c r="H1403" t="s">
        <v>193</v>
      </c>
      <c r="I1403" t="s">
        <v>193</v>
      </c>
      <c r="J1403">
        <v>2.871</v>
      </c>
      <c r="K1403">
        <v>3.048</v>
      </c>
      <c r="L1403">
        <v>3.3138</v>
      </c>
      <c r="M1403">
        <v>3.7185</v>
      </c>
      <c r="N1403">
        <v>3.6855</v>
      </c>
      <c r="O1403" t="s">
        <v>193</v>
      </c>
      <c r="P1403" t="s">
        <v>193</v>
      </c>
    </row>
    <row r="1404" spans="1:16" ht="12.75">
      <c r="A1404" s="62" t="str">
        <f t="shared" si="22"/>
        <v>Ukraine_Health expenditure, total (% of GDP)</v>
      </c>
      <c r="B1404" t="s">
        <v>544</v>
      </c>
      <c r="C1404" t="s">
        <v>224</v>
      </c>
      <c r="D1404" t="s">
        <v>428</v>
      </c>
      <c r="E1404" t="s">
        <v>429</v>
      </c>
      <c r="F1404" t="s">
        <v>193</v>
      </c>
      <c r="G1404" t="s">
        <v>193</v>
      </c>
      <c r="H1404" t="s">
        <v>193</v>
      </c>
      <c r="I1404" t="s">
        <v>193</v>
      </c>
      <c r="J1404">
        <v>5.8</v>
      </c>
      <c r="K1404">
        <v>6</v>
      </c>
      <c r="L1404">
        <v>6.3</v>
      </c>
      <c r="M1404">
        <v>6.7</v>
      </c>
      <c r="N1404">
        <v>6.5</v>
      </c>
      <c r="O1404" t="s">
        <v>193</v>
      </c>
      <c r="P1404" t="s">
        <v>193</v>
      </c>
    </row>
    <row r="1405" spans="1:16" ht="12.75">
      <c r="A1405" s="62" t="str">
        <f t="shared" si="22"/>
        <v>Ukraine_GDP (current LCU)</v>
      </c>
      <c r="B1405" t="s">
        <v>544</v>
      </c>
      <c r="C1405" t="s">
        <v>224</v>
      </c>
      <c r="D1405" t="s">
        <v>430</v>
      </c>
      <c r="E1405" t="s">
        <v>431</v>
      </c>
      <c r="F1405">
        <v>81519001600</v>
      </c>
      <c r="G1405">
        <v>93365002240</v>
      </c>
      <c r="H1405">
        <v>102593003520</v>
      </c>
      <c r="I1405">
        <v>130442002432</v>
      </c>
      <c r="J1405">
        <v>170069999616</v>
      </c>
      <c r="K1405">
        <v>204190007296</v>
      </c>
      <c r="L1405">
        <v>225810006016</v>
      </c>
      <c r="M1405">
        <v>267344003072</v>
      </c>
      <c r="N1405">
        <v>344821989376</v>
      </c>
      <c r="O1405">
        <v>441452003328</v>
      </c>
      <c r="P1405">
        <v>535859986432</v>
      </c>
    </row>
    <row r="1406" spans="1:16" ht="12.75">
      <c r="A1406" s="62" t="str">
        <f t="shared" si="22"/>
        <v>Ukraine_GDP (current US$)</v>
      </c>
      <c r="B1406" t="s">
        <v>544</v>
      </c>
      <c r="C1406" t="s">
        <v>224</v>
      </c>
      <c r="D1406" t="s">
        <v>432</v>
      </c>
      <c r="E1406" t="s">
        <v>433</v>
      </c>
      <c r="F1406">
        <v>44558077952</v>
      </c>
      <c r="G1406">
        <v>50150400000</v>
      </c>
      <c r="H1406">
        <v>41883242496</v>
      </c>
      <c r="I1406">
        <v>31580639232</v>
      </c>
      <c r="J1406">
        <v>31261528064</v>
      </c>
      <c r="K1406">
        <v>38009344000</v>
      </c>
      <c r="L1406">
        <v>42392895488</v>
      </c>
      <c r="M1406">
        <v>50132955136</v>
      </c>
      <c r="N1406">
        <v>64828350464</v>
      </c>
      <c r="O1406">
        <v>86136979456</v>
      </c>
      <c r="P1406">
        <v>106110894080</v>
      </c>
    </row>
    <row r="1407" spans="1:16" ht="12.75">
      <c r="A1407" s="62" t="str">
        <f t="shared" si="22"/>
        <v>Ukraine_GDP per capita, PPP (current international $)</v>
      </c>
      <c r="B1407" t="s">
        <v>544</v>
      </c>
      <c r="C1407" t="s">
        <v>224</v>
      </c>
      <c r="D1407" t="s">
        <v>434</v>
      </c>
      <c r="E1407" t="s">
        <v>435</v>
      </c>
      <c r="F1407">
        <v>3628.01299147611</v>
      </c>
      <c r="G1407">
        <v>3610.70380595471</v>
      </c>
      <c r="H1407">
        <v>3613.60707593076</v>
      </c>
      <c r="I1407">
        <v>3693.14933762122</v>
      </c>
      <c r="J1407">
        <v>4036.73018097128</v>
      </c>
      <c r="K1407">
        <v>4559.91206721738</v>
      </c>
      <c r="L1407">
        <v>4929.72074593611</v>
      </c>
      <c r="M1407">
        <v>5547.71137305694</v>
      </c>
      <c r="N1407">
        <v>6432.20727083646</v>
      </c>
      <c r="O1407">
        <v>6858.0063844494</v>
      </c>
      <c r="P1407">
        <v>7641.8330703182</v>
      </c>
    </row>
    <row r="1408" spans="1:16" ht="12.75">
      <c r="A1408" s="62" t="str">
        <f t="shared" si="22"/>
        <v>Ukraine_GDP per capita, PPP (constant 2000 international $)</v>
      </c>
      <c r="B1408" t="s">
        <v>544</v>
      </c>
      <c r="C1408" t="s">
        <v>224</v>
      </c>
      <c r="D1408" t="s">
        <v>436</v>
      </c>
      <c r="E1408" t="s">
        <v>437</v>
      </c>
      <c r="F1408">
        <v>3865.96064758497</v>
      </c>
      <c r="G1408">
        <v>3784.30496475621</v>
      </c>
      <c r="H1408">
        <v>3745.73131008799</v>
      </c>
      <c r="I1408">
        <v>3773.65465030739</v>
      </c>
      <c r="J1408">
        <v>4036.73018097128</v>
      </c>
      <c r="K1408">
        <v>4452.65613383816</v>
      </c>
      <c r="L1408">
        <v>4730.97183159711</v>
      </c>
      <c r="M1408">
        <v>5217.85176768455</v>
      </c>
      <c r="N1408">
        <v>5895.07047963456</v>
      </c>
      <c r="O1408">
        <v>6101.27036657017</v>
      </c>
      <c r="P1408">
        <v>6605.19748216906</v>
      </c>
    </row>
    <row r="1409" spans="1:16" ht="12.75">
      <c r="A1409" s="62" t="str">
        <f t="shared" si="22"/>
        <v>Ukraine_GINI index</v>
      </c>
      <c r="B1409" t="s">
        <v>544</v>
      </c>
      <c r="C1409" t="s">
        <v>224</v>
      </c>
      <c r="D1409" t="s">
        <v>438</v>
      </c>
      <c r="E1409" t="s">
        <v>439</v>
      </c>
      <c r="F1409">
        <v>35.12</v>
      </c>
      <c r="G1409" t="s">
        <v>193</v>
      </c>
      <c r="H1409" t="s">
        <v>193</v>
      </c>
      <c r="I1409">
        <v>28.96</v>
      </c>
      <c r="J1409" t="s">
        <v>193</v>
      </c>
      <c r="K1409" t="s">
        <v>193</v>
      </c>
      <c r="L1409" t="s">
        <v>193</v>
      </c>
      <c r="M1409">
        <v>28.06</v>
      </c>
      <c r="N1409" t="s">
        <v>193</v>
      </c>
      <c r="O1409" t="s">
        <v>193</v>
      </c>
      <c r="P1409" t="s">
        <v>193</v>
      </c>
    </row>
  </sheetData>
  <sheetProtection/>
  <autoFilter ref="A1:P1409"/>
  <printOptions/>
  <pageMargins left="0.787401575" right="0.787401575" top="0.984251969" bottom="0.984251969"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41"/>
  </sheetPr>
  <dimension ref="A1:G88"/>
  <sheetViews>
    <sheetView zoomScale="75" zoomScaleNormal="75" zoomScalePageLayoutView="0" workbookViewId="0" topLeftCell="A1">
      <pane xSplit="2" ySplit="1" topLeftCell="C61" activePane="bottomRight" state="frozen"/>
      <selection pane="topLeft" activeCell="E2" sqref="E2"/>
      <selection pane="topRight" activeCell="E2" sqref="E2"/>
      <selection pane="bottomLeft" activeCell="E2" sqref="E2"/>
      <selection pane="bottomRight" activeCell="E2" sqref="E2"/>
    </sheetView>
  </sheetViews>
  <sheetFormatPr defaultColWidth="8.8515625" defaultRowHeight="12.75" outlineLevelCol="1"/>
  <cols>
    <col min="1" max="1" width="9.140625" style="0" customWidth="1" outlineLevel="1"/>
    <col min="2" max="2" width="19.8515625" style="0" customWidth="1"/>
    <col min="3" max="6" width="13.7109375" style="0" bestFit="1" customWidth="1"/>
  </cols>
  <sheetData>
    <row r="1" spans="2:7" ht="52.5">
      <c r="B1" s="1" t="s">
        <v>258</v>
      </c>
      <c r="C1" s="2" t="s">
        <v>183</v>
      </c>
      <c r="D1" s="2" t="s">
        <v>184</v>
      </c>
      <c r="E1" s="2" t="s">
        <v>185</v>
      </c>
      <c r="F1" s="2" t="s">
        <v>545</v>
      </c>
      <c r="G1" s="42" t="s">
        <v>186</v>
      </c>
    </row>
    <row r="2" spans="1:7" s="37" customFormat="1" ht="12.75">
      <c r="A2" s="37" t="s">
        <v>564</v>
      </c>
      <c r="B2" s="14" t="s">
        <v>138</v>
      </c>
      <c r="C2" s="5">
        <v>0.85</v>
      </c>
      <c r="D2" s="5">
        <v>0.15</v>
      </c>
      <c r="E2" s="5">
        <v>1</v>
      </c>
      <c r="F2" s="5">
        <v>15</v>
      </c>
      <c r="G2" s="6">
        <v>2004</v>
      </c>
    </row>
    <row r="3" spans="1:7" s="37" customFormat="1" ht="12.75">
      <c r="A3" s="37" t="s">
        <v>560</v>
      </c>
      <c r="B3" s="14" t="s">
        <v>222</v>
      </c>
      <c r="C3" s="5">
        <v>1.8</v>
      </c>
      <c r="D3" s="5">
        <v>0.2</v>
      </c>
      <c r="E3" s="5">
        <v>1.9</v>
      </c>
      <c r="F3" s="5">
        <v>10.526315789473685</v>
      </c>
      <c r="G3" s="6">
        <v>1999</v>
      </c>
    </row>
    <row r="4" spans="1:7" ht="12.75">
      <c r="A4" t="s">
        <v>559</v>
      </c>
      <c r="B4" s="14" t="s">
        <v>87</v>
      </c>
      <c r="C4" s="5">
        <v>0.2</v>
      </c>
      <c r="D4" s="5">
        <v>0.2</v>
      </c>
      <c r="E4" s="5">
        <v>0.4</v>
      </c>
      <c r="F4" s="5">
        <v>50</v>
      </c>
      <c r="G4" s="6">
        <v>2004</v>
      </c>
    </row>
    <row r="5" spans="1:7" ht="12.75">
      <c r="A5" t="s">
        <v>563</v>
      </c>
      <c r="B5" s="70" t="s">
        <v>230</v>
      </c>
      <c r="C5" s="5" t="s">
        <v>193</v>
      </c>
      <c r="D5" s="5">
        <v>0.22</v>
      </c>
      <c r="E5" s="5" t="s">
        <v>193</v>
      </c>
      <c r="F5" s="5" t="s">
        <v>193</v>
      </c>
      <c r="G5" s="6">
        <v>2005</v>
      </c>
    </row>
    <row r="6" spans="1:7" s="37" customFormat="1" ht="12.75">
      <c r="A6" s="37" t="s">
        <v>562</v>
      </c>
      <c r="B6" s="14" t="s">
        <v>128</v>
      </c>
      <c r="C6" s="5">
        <v>1.84</v>
      </c>
      <c r="D6" s="5">
        <v>0.4</v>
      </c>
      <c r="E6" s="5">
        <v>2.24</v>
      </c>
      <c r="F6" s="5">
        <v>17.857142857142858</v>
      </c>
      <c r="G6" s="6">
        <v>2000</v>
      </c>
    </row>
    <row r="7" spans="1:7" s="37" customFormat="1" ht="12.75">
      <c r="A7" s="37" t="s">
        <v>561</v>
      </c>
      <c r="B7" s="14" t="s">
        <v>105</v>
      </c>
      <c r="C7" s="5">
        <v>2.5</v>
      </c>
      <c r="D7" s="5">
        <v>0.4</v>
      </c>
      <c r="E7" s="5">
        <v>2.9</v>
      </c>
      <c r="F7" s="5">
        <v>13.793103448275861</v>
      </c>
      <c r="G7" s="6">
        <v>2004</v>
      </c>
    </row>
    <row r="8" spans="1:7" ht="12.75">
      <c r="A8" t="s">
        <v>559</v>
      </c>
      <c r="B8" s="14" t="s">
        <v>235</v>
      </c>
      <c r="C8" s="5">
        <v>1.4</v>
      </c>
      <c r="D8" s="5">
        <v>0.4</v>
      </c>
      <c r="E8" s="5">
        <v>1.8</v>
      </c>
      <c r="F8" s="5">
        <v>22.222222222222225</v>
      </c>
      <c r="G8" s="6">
        <v>2004</v>
      </c>
    </row>
    <row r="9" spans="1:7" s="37" customFormat="1" ht="12.75">
      <c r="A9" s="37" t="s">
        <v>563</v>
      </c>
      <c r="B9" s="14" t="s">
        <v>459</v>
      </c>
      <c r="C9" s="5">
        <v>1.64</v>
      </c>
      <c r="D9" s="5">
        <v>0.43</v>
      </c>
      <c r="E9" s="5">
        <v>2.07</v>
      </c>
      <c r="F9" s="5">
        <v>20.77294685990338</v>
      </c>
      <c r="G9" s="6">
        <v>2006</v>
      </c>
    </row>
    <row r="10" spans="1:7" s="37" customFormat="1" ht="12.75">
      <c r="A10" s="37" t="s">
        <v>562</v>
      </c>
      <c r="B10" s="14" t="s">
        <v>257</v>
      </c>
      <c r="C10" s="5">
        <v>9.6</v>
      </c>
      <c r="D10" s="5">
        <v>0.5</v>
      </c>
      <c r="E10" s="5">
        <v>10.1</v>
      </c>
      <c r="F10" s="5">
        <v>4.9504950495049505</v>
      </c>
      <c r="G10" s="6">
        <v>2005</v>
      </c>
    </row>
    <row r="11" spans="1:7" s="37" customFormat="1" ht="12.75">
      <c r="A11" s="37" t="s">
        <v>562</v>
      </c>
      <c r="B11" s="40" t="s">
        <v>241</v>
      </c>
      <c r="C11" s="5">
        <v>5.9</v>
      </c>
      <c r="D11" s="5">
        <v>0.6</v>
      </c>
      <c r="E11" s="5">
        <v>6.5</v>
      </c>
      <c r="F11" s="5">
        <v>9.23076923076923</v>
      </c>
      <c r="G11" s="6">
        <v>2004</v>
      </c>
    </row>
    <row r="12" spans="1:7" s="37" customFormat="1" ht="12.75">
      <c r="A12" s="37" t="s">
        <v>562</v>
      </c>
      <c r="B12" s="14" t="s">
        <v>534</v>
      </c>
      <c r="C12" s="5">
        <v>1.07</v>
      </c>
      <c r="D12" s="5">
        <v>0.64</v>
      </c>
      <c r="E12" s="5">
        <v>1.71</v>
      </c>
      <c r="F12" s="5">
        <v>37.42690058479533</v>
      </c>
      <c r="G12" s="6">
        <v>1998</v>
      </c>
    </row>
    <row r="13" spans="1:7" s="37" customFormat="1" ht="12.75">
      <c r="A13" s="37" t="s">
        <v>560</v>
      </c>
      <c r="B13" s="14" t="s">
        <v>215</v>
      </c>
      <c r="C13" s="5">
        <v>5.1</v>
      </c>
      <c r="D13" s="5">
        <v>0.7</v>
      </c>
      <c r="E13" s="5">
        <v>5.8</v>
      </c>
      <c r="F13" s="5">
        <v>12.068965517241379</v>
      </c>
      <c r="G13" s="6">
        <v>2001</v>
      </c>
    </row>
    <row r="14" spans="1:7" s="37" customFormat="1" ht="12.75">
      <c r="A14" s="37" t="s">
        <v>562</v>
      </c>
      <c r="B14" s="14" t="s">
        <v>240</v>
      </c>
      <c r="C14" s="5">
        <v>6.9</v>
      </c>
      <c r="D14" s="5">
        <v>0.7</v>
      </c>
      <c r="E14" s="5">
        <v>7.6</v>
      </c>
      <c r="F14" s="5">
        <v>9.210526315789473</v>
      </c>
      <c r="G14" s="6">
        <v>2003</v>
      </c>
    </row>
    <row r="15" spans="1:7" s="37" customFormat="1" ht="12.75">
      <c r="A15" s="37" t="s">
        <v>559</v>
      </c>
      <c r="B15" s="14" t="s">
        <v>234</v>
      </c>
      <c r="C15" s="5">
        <v>1.3</v>
      </c>
      <c r="D15" s="5">
        <v>0.7</v>
      </c>
      <c r="E15" s="5">
        <v>2</v>
      </c>
      <c r="F15" s="5">
        <v>35</v>
      </c>
      <c r="G15" s="6">
        <v>2004</v>
      </c>
    </row>
    <row r="16" spans="1:7" s="37" customFormat="1" ht="12.75">
      <c r="A16" s="37" t="s">
        <v>562</v>
      </c>
      <c r="B16" s="14" t="s">
        <v>254</v>
      </c>
      <c r="C16" s="5">
        <v>3.18</v>
      </c>
      <c r="D16" s="5">
        <v>0.71</v>
      </c>
      <c r="E16" s="5">
        <v>3.89</v>
      </c>
      <c r="F16" s="5">
        <v>18.25192802056555</v>
      </c>
      <c r="G16" s="6">
        <v>2005</v>
      </c>
    </row>
    <row r="17" spans="1:7" s="37" customFormat="1" ht="12.75">
      <c r="A17" s="37" t="s">
        <v>562</v>
      </c>
      <c r="B17" s="14" t="s">
        <v>250</v>
      </c>
      <c r="C17" s="5">
        <v>1.01</v>
      </c>
      <c r="D17" s="5">
        <v>0.76</v>
      </c>
      <c r="E17" s="5">
        <v>1.77</v>
      </c>
      <c r="F17" s="5">
        <v>42.93785310734463</v>
      </c>
      <c r="G17" s="6">
        <v>2005</v>
      </c>
    </row>
    <row r="18" spans="1:7" ht="12.75">
      <c r="A18" t="s">
        <v>564</v>
      </c>
      <c r="B18" s="70" t="s">
        <v>194</v>
      </c>
      <c r="C18" s="5">
        <v>1.2</v>
      </c>
      <c r="D18" s="5">
        <v>0.9</v>
      </c>
      <c r="E18" s="5">
        <v>2.1</v>
      </c>
      <c r="F18" s="5">
        <v>42.857142857142854</v>
      </c>
      <c r="G18" s="6">
        <v>2002</v>
      </c>
    </row>
    <row r="19" spans="1:7" s="37" customFormat="1" ht="12.75">
      <c r="A19" s="37" t="s">
        <v>562</v>
      </c>
      <c r="B19" s="14" t="s">
        <v>127</v>
      </c>
      <c r="C19" s="5">
        <v>4.2</v>
      </c>
      <c r="D19" s="5">
        <v>1</v>
      </c>
      <c r="E19" s="5">
        <v>5.2</v>
      </c>
      <c r="F19" s="5">
        <v>19.23076923076923</v>
      </c>
      <c r="G19" s="6">
        <v>2000</v>
      </c>
    </row>
    <row r="20" spans="1:7" ht="12.75">
      <c r="A20" t="s">
        <v>562</v>
      </c>
      <c r="B20" s="14" t="s">
        <v>251</v>
      </c>
      <c r="C20" s="5">
        <v>2.6</v>
      </c>
      <c r="D20" s="5">
        <v>1</v>
      </c>
      <c r="E20" s="5">
        <v>3.5</v>
      </c>
      <c r="F20" s="5">
        <v>28.57142857142857</v>
      </c>
      <c r="G20" s="6">
        <v>2002</v>
      </c>
    </row>
    <row r="21" spans="1:7" ht="12.75">
      <c r="A21" t="s">
        <v>562</v>
      </c>
      <c r="B21" s="14" t="s">
        <v>256</v>
      </c>
      <c r="C21" s="5">
        <v>2.7</v>
      </c>
      <c r="D21" s="5">
        <v>1</v>
      </c>
      <c r="E21" s="5">
        <v>3.7</v>
      </c>
      <c r="F21" s="5">
        <v>27.027027027027025</v>
      </c>
      <c r="G21" s="6">
        <v>2000</v>
      </c>
    </row>
    <row r="22" spans="1:7" s="37" customFormat="1" ht="12.75">
      <c r="A22" s="37" t="s">
        <v>561</v>
      </c>
      <c r="B22" s="14" t="s">
        <v>538</v>
      </c>
      <c r="C22" s="5">
        <v>0.9</v>
      </c>
      <c r="D22" s="5">
        <v>1</v>
      </c>
      <c r="E22" s="5">
        <v>1.9</v>
      </c>
      <c r="F22" s="5">
        <v>52.63157894736842</v>
      </c>
      <c r="G22" s="6">
        <v>1999</v>
      </c>
    </row>
    <row r="23" spans="1:7" ht="12.75">
      <c r="A23" t="s">
        <v>559</v>
      </c>
      <c r="B23" s="14" t="s">
        <v>236</v>
      </c>
      <c r="C23" s="5">
        <v>2</v>
      </c>
      <c r="D23" s="5">
        <v>1</v>
      </c>
      <c r="E23" s="5">
        <v>3</v>
      </c>
      <c r="F23" s="5">
        <v>33.33333333333333</v>
      </c>
      <c r="G23" s="6">
        <v>2004</v>
      </c>
    </row>
    <row r="24" spans="1:7" s="37" customFormat="1" ht="12.75">
      <c r="A24" s="37" t="s">
        <v>560</v>
      </c>
      <c r="B24" s="14" t="s">
        <v>218</v>
      </c>
      <c r="C24" s="5">
        <v>16.34</v>
      </c>
      <c r="D24" s="5">
        <v>1.06</v>
      </c>
      <c r="E24" s="5">
        <v>17.4</v>
      </c>
      <c r="F24" s="5">
        <v>6.0919540229885065</v>
      </c>
      <c r="G24" s="6">
        <v>2000</v>
      </c>
    </row>
    <row r="25" spans="1:7" ht="12.75">
      <c r="A25" t="s">
        <v>563</v>
      </c>
      <c r="B25" s="70" t="s">
        <v>232</v>
      </c>
      <c r="C25" s="5">
        <v>1.5</v>
      </c>
      <c r="D25" s="5">
        <v>1.1</v>
      </c>
      <c r="E25" s="5">
        <v>2.6</v>
      </c>
      <c r="F25" s="5">
        <v>42.30769230769231</v>
      </c>
      <c r="G25" s="6">
        <v>1998</v>
      </c>
    </row>
    <row r="26" spans="1:7" s="37" customFormat="1" ht="12.75">
      <c r="A26" s="37" t="s">
        <v>560</v>
      </c>
      <c r="B26" s="14" t="s">
        <v>219</v>
      </c>
      <c r="C26" s="5">
        <v>8.9</v>
      </c>
      <c r="D26" s="5">
        <v>1.1</v>
      </c>
      <c r="E26" s="5">
        <v>10</v>
      </c>
      <c r="F26" s="5">
        <v>11</v>
      </c>
      <c r="G26" s="6">
        <v>2002</v>
      </c>
    </row>
    <row r="27" spans="1:7" s="37" customFormat="1" ht="12.75">
      <c r="A27" s="37" t="s">
        <v>562</v>
      </c>
      <c r="B27" s="14" t="s">
        <v>245</v>
      </c>
      <c r="C27" s="5">
        <v>1.8</v>
      </c>
      <c r="D27" s="5">
        <v>1.1</v>
      </c>
      <c r="E27" s="5">
        <v>2.9</v>
      </c>
      <c r="F27" s="5">
        <v>37.931034482758626</v>
      </c>
      <c r="G27" s="6">
        <v>2004</v>
      </c>
    </row>
    <row r="28" spans="1:7" s="37" customFormat="1" ht="12.75">
      <c r="A28" s="37" t="s">
        <v>562</v>
      </c>
      <c r="B28" s="14" t="s">
        <v>247</v>
      </c>
      <c r="C28" s="5">
        <v>0.7</v>
      </c>
      <c r="D28" s="5">
        <v>1.1</v>
      </c>
      <c r="E28" s="5">
        <v>1.8</v>
      </c>
      <c r="F28" s="5">
        <v>61.111111111111114</v>
      </c>
      <c r="G28" s="6">
        <v>2000</v>
      </c>
    </row>
    <row r="29" spans="1:7" ht="12.75">
      <c r="A29" t="s">
        <v>562</v>
      </c>
      <c r="B29" s="14" t="s">
        <v>252</v>
      </c>
      <c r="C29" s="5">
        <v>5.4</v>
      </c>
      <c r="D29" s="5">
        <v>1.1</v>
      </c>
      <c r="E29" s="5">
        <v>6.5</v>
      </c>
      <c r="F29" s="5">
        <v>16.923076923076923</v>
      </c>
      <c r="G29" s="6">
        <v>2000</v>
      </c>
    </row>
    <row r="30" spans="1:7" s="37" customFormat="1" ht="12.75">
      <c r="A30" s="37" t="s">
        <v>560</v>
      </c>
      <c r="B30" s="14" t="s">
        <v>203</v>
      </c>
      <c r="C30" s="5">
        <v>5.5</v>
      </c>
      <c r="D30" s="5">
        <v>1.2</v>
      </c>
      <c r="E30" s="5">
        <v>6.7</v>
      </c>
      <c r="F30" s="5">
        <v>17.91044776119403</v>
      </c>
      <c r="G30" s="6">
        <v>2005</v>
      </c>
    </row>
    <row r="31" spans="1:7" s="37" customFormat="1" ht="12.75">
      <c r="A31" s="37" t="s">
        <v>560</v>
      </c>
      <c r="B31" s="14" t="s">
        <v>208</v>
      </c>
      <c r="C31" s="5">
        <v>9.5</v>
      </c>
      <c r="D31" s="5">
        <v>1.2</v>
      </c>
      <c r="E31" s="5">
        <v>10.7</v>
      </c>
      <c r="F31" s="5">
        <v>11.214953271028037</v>
      </c>
      <c r="G31" s="6">
        <v>2004</v>
      </c>
    </row>
    <row r="32" spans="1:7" ht="12.75">
      <c r="A32" t="s">
        <v>563</v>
      </c>
      <c r="B32" s="70" t="s">
        <v>227</v>
      </c>
      <c r="C32" s="5" t="s">
        <v>193</v>
      </c>
      <c r="D32" s="5">
        <v>1.3</v>
      </c>
      <c r="E32" s="5" t="s">
        <v>193</v>
      </c>
      <c r="F32" s="5" t="s">
        <v>193</v>
      </c>
      <c r="G32" s="6">
        <v>2006</v>
      </c>
    </row>
    <row r="33" spans="1:7" s="37" customFormat="1" ht="12.75">
      <c r="A33" s="37" t="s">
        <v>561</v>
      </c>
      <c r="B33" s="14" t="s">
        <v>199</v>
      </c>
      <c r="C33" s="5">
        <v>4</v>
      </c>
      <c r="D33" s="5">
        <v>1.31</v>
      </c>
      <c r="E33" s="5">
        <v>5.31</v>
      </c>
      <c r="F33" s="5">
        <v>24.670433145009415</v>
      </c>
      <c r="G33" s="6">
        <v>2002</v>
      </c>
    </row>
    <row r="34" spans="1:7" s="37" customFormat="1" ht="12.75">
      <c r="A34" s="37" t="s">
        <v>560</v>
      </c>
      <c r="B34" s="14" t="s">
        <v>216</v>
      </c>
      <c r="C34" s="5">
        <v>9.935</v>
      </c>
      <c r="D34" s="5">
        <v>1.345</v>
      </c>
      <c r="E34" s="5">
        <v>11.285</v>
      </c>
      <c r="F34" s="5">
        <v>11.918475852902082</v>
      </c>
      <c r="G34" s="6">
        <v>2001</v>
      </c>
    </row>
    <row r="35" spans="1:7" ht="12.75">
      <c r="A35" t="s">
        <v>563</v>
      </c>
      <c r="B35" s="70" t="s">
        <v>229</v>
      </c>
      <c r="C35" s="5">
        <v>5.9495</v>
      </c>
      <c r="D35" s="5">
        <v>1.3505000000000003</v>
      </c>
      <c r="E35" s="5">
        <v>7.3</v>
      </c>
      <c r="F35" s="5">
        <v>18.5</v>
      </c>
      <c r="G35" s="6">
        <v>2000</v>
      </c>
    </row>
    <row r="36" spans="1:7" s="37" customFormat="1" ht="12.75">
      <c r="A36" s="37" t="s">
        <v>560</v>
      </c>
      <c r="B36" s="14" t="s">
        <v>494</v>
      </c>
      <c r="C36" s="5">
        <v>10.6</v>
      </c>
      <c r="D36" s="5">
        <v>1.4</v>
      </c>
      <c r="E36" s="5">
        <v>12</v>
      </c>
      <c r="F36" s="5">
        <v>11.666666666666666</v>
      </c>
      <c r="G36" s="6">
        <v>2000</v>
      </c>
    </row>
    <row r="37" spans="1:7" s="37" customFormat="1" ht="12.75">
      <c r="A37" s="37" t="s">
        <v>560</v>
      </c>
      <c r="B37" s="14" t="s">
        <v>276</v>
      </c>
      <c r="C37" s="5">
        <v>12.6</v>
      </c>
      <c r="D37" s="5">
        <v>1.4</v>
      </c>
      <c r="E37" s="5">
        <v>14</v>
      </c>
      <c r="F37" s="5">
        <v>10</v>
      </c>
      <c r="G37" s="6">
        <v>2005</v>
      </c>
    </row>
    <row r="38" spans="1:7" ht="12.75">
      <c r="A38" t="s">
        <v>562</v>
      </c>
      <c r="B38" s="70" t="s">
        <v>239</v>
      </c>
      <c r="C38" s="5">
        <v>11.7</v>
      </c>
      <c r="D38" s="5">
        <v>1.4</v>
      </c>
      <c r="E38" s="5">
        <v>13.1</v>
      </c>
      <c r="F38" s="5">
        <v>10.687022900763358</v>
      </c>
      <c r="G38" s="6">
        <v>2004</v>
      </c>
    </row>
    <row r="39" spans="1:7" s="37" customFormat="1" ht="12.75">
      <c r="A39" s="37" t="s">
        <v>560</v>
      </c>
      <c r="B39" s="14" t="s">
        <v>211</v>
      </c>
      <c r="C39" s="5">
        <v>2.7</v>
      </c>
      <c r="D39" s="5">
        <v>1.5</v>
      </c>
      <c r="E39" s="5">
        <v>4.2</v>
      </c>
      <c r="F39" s="5">
        <v>35.714285714285715</v>
      </c>
      <c r="G39" s="6">
        <v>2000</v>
      </c>
    </row>
    <row r="40" spans="1:7" ht="12.75">
      <c r="A40" t="s">
        <v>562</v>
      </c>
      <c r="B40" s="70" t="s">
        <v>237</v>
      </c>
      <c r="C40" s="5">
        <v>7.7</v>
      </c>
      <c r="D40" s="5">
        <v>1.5</v>
      </c>
      <c r="E40" s="5">
        <v>9.2</v>
      </c>
      <c r="F40" s="5">
        <v>16.304347826086957</v>
      </c>
      <c r="G40" s="6">
        <v>2004</v>
      </c>
    </row>
    <row r="41" spans="1:7" s="37" customFormat="1" ht="12.75">
      <c r="A41" s="37" t="s">
        <v>562</v>
      </c>
      <c r="B41" s="14" t="s">
        <v>242</v>
      </c>
      <c r="C41" s="5">
        <v>4.3</v>
      </c>
      <c r="D41" s="5">
        <v>1.5</v>
      </c>
      <c r="E41" s="5">
        <v>5.8</v>
      </c>
      <c r="F41" s="5">
        <v>25.862068965517242</v>
      </c>
      <c r="G41" s="6">
        <v>2004</v>
      </c>
    </row>
    <row r="42" spans="1:7" ht="12.75">
      <c r="A42" t="s">
        <v>560</v>
      </c>
      <c r="B42" s="70" t="s">
        <v>205</v>
      </c>
      <c r="C42" s="5">
        <v>3.7</v>
      </c>
      <c r="D42" s="5">
        <v>1.6</v>
      </c>
      <c r="E42" s="5">
        <v>5.3</v>
      </c>
      <c r="F42" s="5">
        <v>30.188679245283023</v>
      </c>
      <c r="G42" s="6">
        <v>2001</v>
      </c>
    </row>
    <row r="43" spans="1:7" ht="12.75">
      <c r="A43" t="s">
        <v>562</v>
      </c>
      <c r="B43" s="14" t="s">
        <v>246</v>
      </c>
      <c r="C43" s="5">
        <v>1.8</v>
      </c>
      <c r="D43" s="5">
        <v>1.6</v>
      </c>
      <c r="E43" s="5">
        <v>3.4</v>
      </c>
      <c r="F43" s="5">
        <v>47.05882352941177</v>
      </c>
      <c r="G43" s="6">
        <v>2001</v>
      </c>
    </row>
    <row r="44" spans="1:7" ht="12.75">
      <c r="A44" t="s">
        <v>561</v>
      </c>
      <c r="B44" s="14" t="s">
        <v>468</v>
      </c>
      <c r="C44" s="5">
        <v>2.7</v>
      </c>
      <c r="D44" s="5">
        <v>1.61</v>
      </c>
      <c r="E44" s="5">
        <v>4.31</v>
      </c>
      <c r="F44" s="5">
        <v>37.35498839907193</v>
      </c>
      <c r="G44" s="6">
        <v>2000</v>
      </c>
    </row>
    <row r="45" spans="1:7" ht="12.75">
      <c r="A45" t="s">
        <v>560</v>
      </c>
      <c r="B45" s="70" t="s">
        <v>217</v>
      </c>
      <c r="C45" s="5">
        <v>7.5342</v>
      </c>
      <c r="D45" s="5">
        <v>1.7</v>
      </c>
      <c r="E45" s="5">
        <v>9.2342</v>
      </c>
      <c r="F45" s="5">
        <v>18.4098243486171</v>
      </c>
      <c r="G45" s="6">
        <v>2005</v>
      </c>
    </row>
    <row r="46" spans="1:7" s="37" customFormat="1" ht="12.75">
      <c r="A46" s="37" t="s">
        <v>562</v>
      </c>
      <c r="B46" s="14" t="s">
        <v>244</v>
      </c>
      <c r="C46" s="5">
        <v>0.7</v>
      </c>
      <c r="D46" s="5">
        <v>1.7</v>
      </c>
      <c r="E46" s="5">
        <v>2.4</v>
      </c>
      <c r="F46" s="5">
        <v>70.83333333333334</v>
      </c>
      <c r="G46" s="6">
        <v>2004</v>
      </c>
    </row>
    <row r="47" spans="1:7" ht="12.75">
      <c r="A47" t="s">
        <v>562</v>
      </c>
      <c r="B47" s="70" t="s">
        <v>253</v>
      </c>
      <c r="C47" s="5">
        <v>5</v>
      </c>
      <c r="D47" s="5">
        <v>1.7</v>
      </c>
      <c r="E47" s="5">
        <v>6.7</v>
      </c>
      <c r="F47" s="5">
        <v>25.37313432835821</v>
      </c>
      <c r="G47" s="6">
        <v>2005</v>
      </c>
    </row>
    <row r="48" spans="1:7" s="37" customFormat="1" ht="12.75">
      <c r="A48" s="37" t="s">
        <v>560</v>
      </c>
      <c r="B48" s="14" t="s">
        <v>209</v>
      </c>
      <c r="C48" s="5">
        <v>12.4</v>
      </c>
      <c r="D48" s="5">
        <v>1.8</v>
      </c>
      <c r="E48" s="5">
        <v>14.2</v>
      </c>
      <c r="F48" s="5">
        <v>12.676056338028168</v>
      </c>
      <c r="G48" s="6">
        <v>2000</v>
      </c>
    </row>
    <row r="49" spans="1:7" s="37" customFormat="1" ht="12.75">
      <c r="A49" s="37" t="s">
        <v>560</v>
      </c>
      <c r="B49" s="14" t="s">
        <v>220</v>
      </c>
      <c r="C49" s="5">
        <v>7.2</v>
      </c>
      <c r="D49" s="5">
        <v>1.8</v>
      </c>
      <c r="E49" s="5">
        <v>9</v>
      </c>
      <c r="F49" s="5">
        <v>20</v>
      </c>
      <c r="G49" s="6">
        <v>2006</v>
      </c>
    </row>
    <row r="50" spans="1:7" s="44" customFormat="1" ht="12.75">
      <c r="A50" s="44" t="s">
        <v>561</v>
      </c>
      <c r="B50" s="14" t="s">
        <v>201</v>
      </c>
      <c r="C50" s="5">
        <v>2.77</v>
      </c>
      <c r="D50" s="5">
        <v>1.9</v>
      </c>
      <c r="E50" s="5">
        <v>4.67</v>
      </c>
      <c r="F50" s="5">
        <v>40.685224839400426</v>
      </c>
      <c r="G50" s="6">
        <v>1998</v>
      </c>
    </row>
    <row r="51" spans="1:7" s="37" customFormat="1" ht="12.75">
      <c r="A51" s="37" t="s">
        <v>560</v>
      </c>
      <c r="B51" s="14" t="s">
        <v>275</v>
      </c>
      <c r="C51" s="5">
        <v>16</v>
      </c>
      <c r="D51" s="5">
        <v>2</v>
      </c>
      <c r="E51" s="5">
        <v>18</v>
      </c>
      <c r="F51" s="5">
        <v>11.11111111111111</v>
      </c>
      <c r="G51" s="6">
        <v>2002</v>
      </c>
    </row>
    <row r="52" spans="1:7" s="37" customFormat="1" ht="12.75">
      <c r="A52" s="37" t="s">
        <v>560</v>
      </c>
      <c r="B52" s="14" t="s">
        <v>225</v>
      </c>
      <c r="C52" s="5">
        <v>7</v>
      </c>
      <c r="D52" s="5">
        <v>2</v>
      </c>
      <c r="E52" s="5">
        <v>9</v>
      </c>
      <c r="F52" s="5">
        <v>22.22222222222222</v>
      </c>
      <c r="G52" s="6">
        <v>2000</v>
      </c>
    </row>
    <row r="53" spans="1:7" s="37" customFormat="1" ht="12.75">
      <c r="A53" s="37" t="s">
        <v>562</v>
      </c>
      <c r="B53" s="14" t="s">
        <v>238</v>
      </c>
      <c r="C53" s="5">
        <v>6.3</v>
      </c>
      <c r="D53" s="5">
        <v>2</v>
      </c>
      <c r="E53" s="5">
        <v>8.3</v>
      </c>
      <c r="F53" s="5">
        <v>24.096385542168672</v>
      </c>
      <c r="G53" s="6">
        <v>2002</v>
      </c>
    </row>
    <row r="54" spans="1:7" ht="12.75">
      <c r="A54" t="s">
        <v>562</v>
      </c>
      <c r="B54" s="14" t="s">
        <v>255</v>
      </c>
      <c r="C54" s="5">
        <v>0.6</v>
      </c>
      <c r="D54" s="5">
        <v>2</v>
      </c>
      <c r="E54" s="5">
        <v>2.6</v>
      </c>
      <c r="F54" s="5">
        <v>76.92307692307692</v>
      </c>
      <c r="G54" s="6">
        <v>2000</v>
      </c>
    </row>
    <row r="55" spans="1:7" s="37" customFormat="1" ht="12.75">
      <c r="A55" s="37" t="s">
        <v>560</v>
      </c>
      <c r="B55" s="14" t="s">
        <v>204</v>
      </c>
      <c r="C55" s="5">
        <v>3</v>
      </c>
      <c r="D55" s="5">
        <v>2.1</v>
      </c>
      <c r="E55" s="5">
        <v>5.11</v>
      </c>
      <c r="F55" s="5">
        <v>41.0958904109589</v>
      </c>
      <c r="G55" s="6">
        <v>2002</v>
      </c>
    </row>
    <row r="56" spans="1:7" s="37" customFormat="1" ht="12.75">
      <c r="A56" s="37" t="s">
        <v>560</v>
      </c>
      <c r="B56" s="14" t="s">
        <v>223</v>
      </c>
      <c r="C56" s="5">
        <v>7.2</v>
      </c>
      <c r="D56" s="5">
        <v>2.1</v>
      </c>
      <c r="E56" s="5">
        <v>9.3</v>
      </c>
      <c r="F56" s="5">
        <v>22.580645161290327</v>
      </c>
      <c r="G56" s="6">
        <v>2004</v>
      </c>
    </row>
    <row r="57" spans="1:7" ht="12.75">
      <c r="A57" t="s">
        <v>562</v>
      </c>
      <c r="B57" s="70" t="s">
        <v>243</v>
      </c>
      <c r="C57" s="5">
        <v>3.41</v>
      </c>
      <c r="D57" s="5">
        <v>2.15</v>
      </c>
      <c r="E57" s="5">
        <v>5.56</v>
      </c>
      <c r="F57" s="5">
        <v>38.66906474820144</v>
      </c>
      <c r="G57" s="6">
        <v>2000</v>
      </c>
    </row>
    <row r="58" spans="1:7" s="37" customFormat="1" ht="12.75">
      <c r="A58" s="37" t="s">
        <v>560</v>
      </c>
      <c r="B58" s="14" t="s">
        <v>213</v>
      </c>
      <c r="C58" s="5">
        <v>3.2</v>
      </c>
      <c r="D58" s="5">
        <v>2.2</v>
      </c>
      <c r="E58" s="5">
        <v>5.4</v>
      </c>
      <c r="F58" s="5">
        <v>40.74074074074075</v>
      </c>
      <c r="G58" s="6">
        <v>2002</v>
      </c>
    </row>
    <row r="59" spans="1:7" ht="12.75">
      <c r="A59" t="s">
        <v>559</v>
      </c>
      <c r="B59" s="14" t="s">
        <v>109</v>
      </c>
      <c r="C59" s="5">
        <v>2.1</v>
      </c>
      <c r="D59" s="5">
        <v>2.2</v>
      </c>
      <c r="E59" s="5">
        <v>4.3</v>
      </c>
      <c r="F59" s="5">
        <v>51.16279069767441</v>
      </c>
      <c r="G59" s="6">
        <v>2004</v>
      </c>
    </row>
    <row r="60" spans="1:7" s="37" customFormat="1" ht="12.75">
      <c r="A60" s="37" t="s">
        <v>562</v>
      </c>
      <c r="B60" s="14" t="s">
        <v>524</v>
      </c>
      <c r="C60" s="5">
        <v>1.2816</v>
      </c>
      <c r="D60" s="5">
        <v>2.3184</v>
      </c>
      <c r="E60" s="5">
        <v>3.6</v>
      </c>
      <c r="F60" s="5">
        <v>64.4</v>
      </c>
      <c r="G60" s="6">
        <v>2002</v>
      </c>
    </row>
    <row r="61" spans="1:7" s="37" customFormat="1" ht="12.75">
      <c r="A61" s="37" t="s">
        <v>561</v>
      </c>
      <c r="B61" s="14" t="s">
        <v>202</v>
      </c>
      <c r="C61" s="5">
        <v>4.2</v>
      </c>
      <c r="D61" s="5">
        <v>2.32</v>
      </c>
      <c r="E61" s="5">
        <v>6.52</v>
      </c>
      <c r="F61" s="5">
        <v>35.58282208588957</v>
      </c>
      <c r="G61" s="6">
        <v>2000</v>
      </c>
    </row>
    <row r="62" spans="1:7" ht="12.75">
      <c r="A62" t="s">
        <v>560</v>
      </c>
      <c r="B62" s="70" t="s">
        <v>210</v>
      </c>
      <c r="C62" s="5">
        <v>11.4</v>
      </c>
      <c r="D62" s="5">
        <v>2.4</v>
      </c>
      <c r="E62" s="5">
        <v>13.8</v>
      </c>
      <c r="F62" s="5">
        <v>17.391304347826086</v>
      </c>
      <c r="G62" s="6">
        <v>2000</v>
      </c>
    </row>
    <row r="63" spans="1:7" s="37" customFormat="1" ht="12.75">
      <c r="A63" s="37" t="s">
        <v>560</v>
      </c>
      <c r="B63" s="14" t="s">
        <v>214</v>
      </c>
      <c r="C63" s="5">
        <v>3.3</v>
      </c>
      <c r="D63" s="5">
        <v>2.5</v>
      </c>
      <c r="E63" s="5">
        <v>5.8</v>
      </c>
      <c r="F63" s="5">
        <v>43.10344827586207</v>
      </c>
      <c r="G63" s="6">
        <v>2003</v>
      </c>
    </row>
    <row r="64" spans="1:7" s="37" customFormat="1" ht="12.75">
      <c r="A64" s="37" t="s">
        <v>562</v>
      </c>
      <c r="B64" s="14" t="s">
        <v>249</v>
      </c>
      <c r="C64" s="5">
        <v>1.6</v>
      </c>
      <c r="D64" s="5">
        <v>2.5</v>
      </c>
      <c r="E64" s="5">
        <v>4.1</v>
      </c>
      <c r="F64" s="5">
        <v>60.97560975609757</v>
      </c>
      <c r="G64" s="6">
        <v>1999</v>
      </c>
    </row>
    <row r="65" spans="1:7" s="37" customFormat="1" ht="12.75">
      <c r="A65" s="37" t="s">
        <v>561</v>
      </c>
      <c r="B65" s="40" t="s">
        <v>480</v>
      </c>
      <c r="C65" s="5">
        <v>1.12</v>
      </c>
      <c r="D65" s="5">
        <v>2.7</v>
      </c>
      <c r="E65" s="5">
        <v>3.82</v>
      </c>
      <c r="F65" s="5">
        <v>70.68062827225131</v>
      </c>
      <c r="G65" s="6">
        <v>2000</v>
      </c>
    </row>
    <row r="66" spans="1:7" ht="12.75">
      <c r="A66" t="s">
        <v>564</v>
      </c>
      <c r="B66" s="70" t="s">
        <v>177</v>
      </c>
      <c r="C66" s="5" t="s">
        <v>193</v>
      </c>
      <c r="D66" s="5">
        <v>3.2</v>
      </c>
      <c r="E66" s="5" t="s">
        <v>193</v>
      </c>
      <c r="F66" s="5" t="s">
        <v>193</v>
      </c>
      <c r="G66" s="6">
        <v>2002</v>
      </c>
    </row>
    <row r="67" spans="1:7" s="37" customFormat="1" ht="12.75">
      <c r="A67" s="37" t="s">
        <v>560</v>
      </c>
      <c r="B67" s="14" t="s">
        <v>224</v>
      </c>
      <c r="C67" s="5">
        <v>9.8</v>
      </c>
      <c r="D67" s="5">
        <v>3.2</v>
      </c>
      <c r="E67" s="5">
        <v>13</v>
      </c>
      <c r="F67" s="5">
        <v>24.615384615384617</v>
      </c>
      <c r="G67" s="6">
        <v>2000</v>
      </c>
    </row>
    <row r="68" spans="1:7" s="37" customFormat="1" ht="12.75">
      <c r="A68" s="37" t="s">
        <v>560</v>
      </c>
      <c r="B68" s="40" t="s">
        <v>221</v>
      </c>
      <c r="C68" s="5">
        <v>9.4</v>
      </c>
      <c r="D68" s="5">
        <v>3.7</v>
      </c>
      <c r="E68" s="5">
        <v>13.1</v>
      </c>
      <c r="F68" s="5">
        <v>28.24427480916031</v>
      </c>
      <c r="G68" s="6">
        <v>2002</v>
      </c>
    </row>
    <row r="69" spans="1:7" ht="12.75">
      <c r="A69" t="s">
        <v>561</v>
      </c>
      <c r="B69" s="70" t="s">
        <v>196</v>
      </c>
      <c r="C69" s="5">
        <v>5</v>
      </c>
      <c r="D69" s="5">
        <v>3.7</v>
      </c>
      <c r="E69" s="5">
        <v>8.7</v>
      </c>
      <c r="F69" s="5">
        <v>42.52873563218391</v>
      </c>
      <c r="G69" s="6">
        <v>2000</v>
      </c>
    </row>
    <row r="70" spans="1:7" ht="12.75">
      <c r="A70" t="s">
        <v>564</v>
      </c>
      <c r="B70" s="70" t="s">
        <v>192</v>
      </c>
      <c r="C70" s="5">
        <v>1.66</v>
      </c>
      <c r="D70" s="5">
        <v>4.4</v>
      </c>
      <c r="E70" s="5">
        <v>6.1</v>
      </c>
      <c r="F70" s="5">
        <v>72.13114754098362</v>
      </c>
      <c r="G70" s="6">
        <v>1999</v>
      </c>
    </row>
    <row r="71" spans="1:7" s="37" customFormat="1" ht="12.75">
      <c r="A71" s="37" t="s">
        <v>564</v>
      </c>
      <c r="B71" s="14" t="s">
        <v>274</v>
      </c>
      <c r="C71" s="5" t="s">
        <v>193</v>
      </c>
      <c r="D71" s="5">
        <v>4.5</v>
      </c>
      <c r="E71" s="5" t="s">
        <v>193</v>
      </c>
      <c r="F71" s="5" t="s">
        <v>193</v>
      </c>
      <c r="G71" s="6">
        <v>2001</v>
      </c>
    </row>
    <row r="72" spans="1:7" s="37" customFormat="1" ht="12.75">
      <c r="A72" s="37" t="s">
        <v>561</v>
      </c>
      <c r="B72" s="14" t="s">
        <v>198</v>
      </c>
      <c r="C72" s="5">
        <v>5.1</v>
      </c>
      <c r="D72" s="5">
        <v>4.9</v>
      </c>
      <c r="E72" s="5">
        <v>10</v>
      </c>
      <c r="F72" s="5">
        <v>49</v>
      </c>
      <c r="G72" s="6">
        <v>2003</v>
      </c>
    </row>
    <row r="73" spans="1:7" ht="12.75">
      <c r="A73" t="s">
        <v>564</v>
      </c>
      <c r="B73" s="70" t="s">
        <v>179</v>
      </c>
      <c r="C73" s="5">
        <v>4.2</v>
      </c>
      <c r="D73" s="5">
        <v>5.3</v>
      </c>
      <c r="E73" s="5">
        <v>9.5</v>
      </c>
      <c r="F73" s="5">
        <v>55.78947368421052</v>
      </c>
      <c r="G73" s="6">
        <v>2001</v>
      </c>
    </row>
    <row r="74" spans="1:7" ht="12.75">
      <c r="A74" t="s">
        <v>560</v>
      </c>
      <c r="B74" s="14" t="s">
        <v>207</v>
      </c>
      <c r="C74" s="5">
        <v>8.9</v>
      </c>
      <c r="D74" s="5">
        <v>6.9</v>
      </c>
      <c r="E74" s="5">
        <v>15.8</v>
      </c>
      <c r="F74" s="5">
        <v>43.67088607594937</v>
      </c>
      <c r="G74" s="6">
        <v>2000</v>
      </c>
    </row>
    <row r="75" spans="1:7" ht="12.75">
      <c r="A75" t="s">
        <v>561</v>
      </c>
      <c r="B75" s="14" t="s">
        <v>98</v>
      </c>
      <c r="C75" s="5">
        <v>3.16</v>
      </c>
      <c r="D75" s="5">
        <v>15.94</v>
      </c>
      <c r="E75" s="5">
        <v>19.1</v>
      </c>
      <c r="F75" s="5">
        <v>83.45549738219894</v>
      </c>
      <c r="G75" s="6">
        <v>2004</v>
      </c>
    </row>
    <row r="76" spans="1:7" s="37" customFormat="1" ht="12.75">
      <c r="A76" s="37" t="s">
        <v>564</v>
      </c>
      <c r="B76" s="14" t="s">
        <v>133</v>
      </c>
      <c r="C76" s="5">
        <v>0.9</v>
      </c>
      <c r="D76" s="5" t="s">
        <v>193</v>
      </c>
      <c r="E76" s="5" t="s">
        <v>193</v>
      </c>
      <c r="F76" s="5" t="s">
        <v>193</v>
      </c>
      <c r="G76" s="6">
        <v>2003</v>
      </c>
    </row>
    <row r="77" spans="1:7" ht="12.75">
      <c r="A77" t="s">
        <v>564</v>
      </c>
      <c r="B77" s="14" t="s">
        <v>373</v>
      </c>
      <c r="C77" s="5" t="s">
        <v>193</v>
      </c>
      <c r="D77" s="5" t="s">
        <v>193</v>
      </c>
      <c r="E77" s="5">
        <v>2.7</v>
      </c>
      <c r="F77" s="5" t="s">
        <v>193</v>
      </c>
      <c r="G77" s="6">
        <v>1996</v>
      </c>
    </row>
    <row r="78" spans="1:7" s="37" customFormat="1" ht="12.75">
      <c r="A78" s="37" t="s">
        <v>564</v>
      </c>
      <c r="B78" s="14" t="s">
        <v>136</v>
      </c>
      <c r="C78" s="5">
        <v>0.1</v>
      </c>
      <c r="D78" s="5" t="s">
        <v>193</v>
      </c>
      <c r="E78" s="5" t="s">
        <v>193</v>
      </c>
      <c r="F78" s="5" t="s">
        <v>193</v>
      </c>
      <c r="G78" s="6">
        <v>2002</v>
      </c>
    </row>
    <row r="79" spans="1:7" s="37" customFormat="1" ht="12.75">
      <c r="A79" s="37" t="s">
        <v>563</v>
      </c>
      <c r="B79" s="14" t="s">
        <v>226</v>
      </c>
      <c r="C79" s="5" t="s">
        <v>193</v>
      </c>
      <c r="D79" s="5" t="s">
        <v>193</v>
      </c>
      <c r="E79" s="5">
        <v>0.7</v>
      </c>
      <c r="F79" s="5" t="s">
        <v>193</v>
      </c>
      <c r="G79" s="6">
        <v>2002</v>
      </c>
    </row>
    <row r="80" spans="1:7" s="37" customFormat="1" ht="12.75">
      <c r="A80" s="37" t="s">
        <v>563</v>
      </c>
      <c r="B80" s="14" t="s">
        <v>488</v>
      </c>
      <c r="C80" s="5" t="s">
        <v>193</v>
      </c>
      <c r="D80" s="5" t="s">
        <v>193</v>
      </c>
      <c r="E80" s="5">
        <v>1.9</v>
      </c>
      <c r="F80" s="5" t="s">
        <v>193</v>
      </c>
      <c r="G80" s="6">
        <v>1997</v>
      </c>
    </row>
    <row r="81" spans="1:7" s="37" customFormat="1" ht="12.75">
      <c r="A81" s="37" t="s">
        <v>563</v>
      </c>
      <c r="B81" s="14" t="s">
        <v>228</v>
      </c>
      <c r="C81" s="5">
        <v>1.4</v>
      </c>
      <c r="D81" s="5" t="s">
        <v>193</v>
      </c>
      <c r="E81" s="5" t="s">
        <v>193</v>
      </c>
      <c r="F81" s="5" t="s">
        <v>193</v>
      </c>
      <c r="G81" s="6">
        <v>1999</v>
      </c>
    </row>
    <row r="82" spans="1:7" ht="12.75">
      <c r="A82" t="s">
        <v>563</v>
      </c>
      <c r="B82" s="70" t="s">
        <v>231</v>
      </c>
      <c r="C82" s="5" t="s">
        <v>193</v>
      </c>
      <c r="D82" s="5" t="s">
        <v>193</v>
      </c>
      <c r="E82" s="5">
        <v>0.6</v>
      </c>
      <c r="F82" s="5" t="s">
        <v>193</v>
      </c>
      <c r="G82" s="6">
        <v>2001</v>
      </c>
    </row>
    <row r="83" spans="1:7" ht="12.75">
      <c r="A83" t="s">
        <v>560</v>
      </c>
      <c r="B83" s="70" t="s">
        <v>206</v>
      </c>
      <c r="C83" s="5" t="s">
        <v>193</v>
      </c>
      <c r="D83" s="5" t="s">
        <v>193</v>
      </c>
      <c r="E83" s="5">
        <v>14.4</v>
      </c>
      <c r="F83" s="5" t="s">
        <v>193</v>
      </c>
      <c r="G83" s="6">
        <v>2001</v>
      </c>
    </row>
    <row r="84" spans="1:7" s="37" customFormat="1" ht="12.75">
      <c r="A84" s="37" t="s">
        <v>562</v>
      </c>
      <c r="B84" s="14" t="s">
        <v>248</v>
      </c>
      <c r="C84" s="5" t="s">
        <v>193</v>
      </c>
      <c r="D84" s="5" t="s">
        <v>193</v>
      </c>
      <c r="E84" s="5">
        <v>2</v>
      </c>
      <c r="F84" s="5" t="s">
        <v>193</v>
      </c>
      <c r="G84" s="6">
        <v>2000</v>
      </c>
    </row>
    <row r="85" spans="1:7" s="37" customFormat="1" ht="12.75">
      <c r="A85" s="37" t="s">
        <v>561</v>
      </c>
      <c r="B85" s="14" t="s">
        <v>197</v>
      </c>
      <c r="C85" s="5">
        <v>1.39</v>
      </c>
      <c r="D85" s="5" t="s">
        <v>193</v>
      </c>
      <c r="E85" s="5" t="s">
        <v>193</v>
      </c>
      <c r="F85" s="5" t="s">
        <v>193</v>
      </c>
      <c r="G85" s="6">
        <v>2000</v>
      </c>
    </row>
    <row r="86" spans="1:7" ht="12.75">
      <c r="A86" t="s">
        <v>561</v>
      </c>
      <c r="B86" s="14" t="s">
        <v>200</v>
      </c>
      <c r="C86" s="5">
        <v>5.9</v>
      </c>
      <c r="D86" s="5" t="s">
        <v>193</v>
      </c>
      <c r="E86" s="5" t="s">
        <v>193</v>
      </c>
      <c r="F86" s="5" t="s">
        <v>193</v>
      </c>
      <c r="G86" s="6">
        <v>1996</v>
      </c>
    </row>
    <row r="87" spans="1:7" s="37" customFormat="1" ht="12.75">
      <c r="A87" s="37" t="s">
        <v>561</v>
      </c>
      <c r="B87" s="14" t="s">
        <v>526</v>
      </c>
      <c r="C87" s="5">
        <v>0.6</v>
      </c>
      <c r="D87" s="5" t="s">
        <v>193</v>
      </c>
      <c r="E87" s="5" t="s">
        <v>193</v>
      </c>
      <c r="F87" s="5" t="s">
        <v>193</v>
      </c>
      <c r="G87" s="6">
        <v>1999</v>
      </c>
    </row>
    <row r="88" spans="1:7" s="37" customFormat="1" ht="12.75">
      <c r="A88" s="37" t="s">
        <v>561</v>
      </c>
      <c r="B88" s="14" t="s">
        <v>195</v>
      </c>
      <c r="C88" s="5" t="s">
        <v>193</v>
      </c>
      <c r="D88" s="5" t="s">
        <v>193</v>
      </c>
      <c r="E88" s="5">
        <v>5.7</v>
      </c>
      <c r="F88" s="5" t="s">
        <v>193</v>
      </c>
      <c r="G88" s="6">
        <v>2001</v>
      </c>
    </row>
  </sheetData>
  <sheetProtection/>
  <autoFilter ref="B1:G88"/>
  <printOptions/>
  <pageMargins left="0.787401575" right="0.787401575" top="0.984251969" bottom="0.984251969" header="0.5" footer="0.5"/>
  <pageSetup horizontalDpi="600" verticalDpi="600" orientation="landscape" scale="70" r:id="rId1"/>
  <headerFooter alignWithMargins="0">
    <oddHeader>&amp;L&amp;D&amp;RDRAFT - NOT FOR QUOTATION</oddHeader>
    <oddFooter>&amp;CPlease provide comments and revised or additional data and reports to Christine Weigand (cweigand@worldbank.org). Thank you.</oddFooter>
  </headerFooter>
</worksheet>
</file>

<file path=xl/worksheets/sheet8.xml><?xml version="1.0" encoding="utf-8"?>
<worksheet xmlns="http://schemas.openxmlformats.org/spreadsheetml/2006/main" xmlns:r="http://schemas.openxmlformats.org/officeDocument/2006/relationships">
  <sheetPr>
    <tabColor indexed="41"/>
  </sheetPr>
  <dimension ref="A1:M88"/>
  <sheetViews>
    <sheetView zoomScale="75" zoomScaleNormal="75" zoomScalePageLayoutView="0" workbookViewId="0" topLeftCell="A1">
      <pane xSplit="2" ySplit="1" topLeftCell="C59" activePane="bottomRight" state="frozen"/>
      <selection pane="topLeft" activeCell="E2" sqref="E2"/>
      <selection pane="topRight" activeCell="E2" sqref="E2"/>
      <selection pane="bottomLeft" activeCell="E2" sqref="E2"/>
      <selection pane="bottomRight" activeCell="E2" sqref="E2"/>
    </sheetView>
  </sheetViews>
  <sheetFormatPr defaultColWidth="8.8515625" defaultRowHeight="12.75"/>
  <cols>
    <col min="1" max="1" width="8.8515625" style="0" customWidth="1"/>
    <col min="2" max="2" width="19.8515625" style="0" customWidth="1"/>
    <col min="3" max="6" width="13.7109375" style="0" bestFit="1" customWidth="1"/>
  </cols>
  <sheetData>
    <row r="1" spans="2:7" ht="52.5">
      <c r="B1" s="1" t="s">
        <v>258</v>
      </c>
      <c r="C1" s="2" t="s">
        <v>183</v>
      </c>
      <c r="D1" s="2" t="s">
        <v>184</v>
      </c>
      <c r="E1" s="2" t="s">
        <v>185</v>
      </c>
      <c r="F1" s="2" t="s">
        <v>545</v>
      </c>
      <c r="G1" s="2" t="s">
        <v>186</v>
      </c>
    </row>
    <row r="2" spans="1:7" ht="12.75">
      <c r="A2" s="37" t="s">
        <v>564</v>
      </c>
      <c r="B2" s="14" t="s">
        <v>136</v>
      </c>
      <c r="C2" s="5">
        <v>0.1</v>
      </c>
      <c r="D2" s="5" t="s">
        <v>193</v>
      </c>
      <c r="E2" s="5" t="s">
        <v>193</v>
      </c>
      <c r="F2" s="5" t="s">
        <v>193</v>
      </c>
      <c r="G2" s="6">
        <v>2002</v>
      </c>
    </row>
    <row r="3" spans="1:7" s="37" customFormat="1" ht="12.75">
      <c r="A3" t="s">
        <v>559</v>
      </c>
      <c r="B3" s="14" t="s">
        <v>87</v>
      </c>
      <c r="C3" s="5">
        <v>0.2</v>
      </c>
      <c r="D3" s="5">
        <v>0.2</v>
      </c>
      <c r="E3" s="5">
        <v>0.4</v>
      </c>
      <c r="F3" s="5">
        <v>50</v>
      </c>
      <c r="G3" s="6">
        <v>2004</v>
      </c>
    </row>
    <row r="4" spans="1:7" s="37" customFormat="1" ht="12.75">
      <c r="A4" t="s">
        <v>562</v>
      </c>
      <c r="B4" s="14" t="s">
        <v>255</v>
      </c>
      <c r="C4" s="5">
        <v>0.6</v>
      </c>
      <c r="D4" s="5">
        <v>2</v>
      </c>
      <c r="E4" s="5">
        <v>2.6</v>
      </c>
      <c r="F4" s="5">
        <v>76.92307692307692</v>
      </c>
      <c r="G4" s="6">
        <v>2000</v>
      </c>
    </row>
    <row r="5" spans="1:7" ht="12.75">
      <c r="A5" s="37" t="s">
        <v>561</v>
      </c>
      <c r="B5" s="14" t="s">
        <v>526</v>
      </c>
      <c r="C5" s="5">
        <v>0.6</v>
      </c>
      <c r="D5" s="5" t="s">
        <v>193</v>
      </c>
      <c r="E5" s="5" t="s">
        <v>193</v>
      </c>
      <c r="F5" s="5" t="s">
        <v>193</v>
      </c>
      <c r="G5" s="6">
        <v>1999</v>
      </c>
    </row>
    <row r="6" spans="1:7" s="37" customFormat="1" ht="12.75">
      <c r="A6" s="37" t="s">
        <v>562</v>
      </c>
      <c r="B6" s="14" t="s">
        <v>247</v>
      </c>
      <c r="C6" s="5">
        <v>0.7</v>
      </c>
      <c r="D6" s="5">
        <v>1.1</v>
      </c>
      <c r="E6" s="5">
        <v>1.8</v>
      </c>
      <c r="F6" s="5">
        <v>61.111111111111114</v>
      </c>
      <c r="G6" s="6">
        <v>2000</v>
      </c>
    </row>
    <row r="7" spans="1:7" s="37" customFormat="1" ht="12.75">
      <c r="A7" s="37" t="s">
        <v>562</v>
      </c>
      <c r="B7" s="14" t="s">
        <v>244</v>
      </c>
      <c r="C7" s="5">
        <v>0.7</v>
      </c>
      <c r="D7" s="5">
        <v>1.7</v>
      </c>
      <c r="E7" s="5">
        <v>2.4</v>
      </c>
      <c r="F7" s="5">
        <v>70.83333333333334</v>
      </c>
      <c r="G7" s="6">
        <v>2004</v>
      </c>
    </row>
    <row r="8" spans="1:7" s="37" customFormat="1" ht="12.75">
      <c r="A8" s="37" t="s">
        <v>564</v>
      </c>
      <c r="B8" s="14" t="s">
        <v>138</v>
      </c>
      <c r="C8" s="5">
        <v>0.85</v>
      </c>
      <c r="D8" s="5">
        <v>0.15</v>
      </c>
      <c r="E8" s="5">
        <v>1</v>
      </c>
      <c r="F8" s="5">
        <v>15</v>
      </c>
      <c r="G8" s="6">
        <v>2004</v>
      </c>
    </row>
    <row r="9" spans="1:7" s="37" customFormat="1" ht="12.75">
      <c r="A9" s="37" t="s">
        <v>561</v>
      </c>
      <c r="B9" s="14" t="s">
        <v>538</v>
      </c>
      <c r="C9" s="5">
        <v>0.9</v>
      </c>
      <c r="D9" s="5">
        <v>1</v>
      </c>
      <c r="E9" s="5">
        <v>1.9</v>
      </c>
      <c r="F9" s="5">
        <v>52.63157894736842</v>
      </c>
      <c r="G9" s="6">
        <v>1999</v>
      </c>
    </row>
    <row r="10" spans="1:7" s="37" customFormat="1" ht="12.75">
      <c r="A10" s="37" t="s">
        <v>564</v>
      </c>
      <c r="B10" s="14" t="s">
        <v>133</v>
      </c>
      <c r="C10" s="5">
        <v>0.9</v>
      </c>
      <c r="D10" s="5" t="s">
        <v>193</v>
      </c>
      <c r="E10" s="5" t="s">
        <v>193</v>
      </c>
      <c r="F10" s="5" t="s">
        <v>193</v>
      </c>
      <c r="G10" s="6">
        <v>2003</v>
      </c>
    </row>
    <row r="11" spans="1:7" s="37" customFormat="1" ht="12.75">
      <c r="A11" s="37" t="s">
        <v>562</v>
      </c>
      <c r="B11" s="14" t="s">
        <v>250</v>
      </c>
      <c r="C11" s="5">
        <v>1.01</v>
      </c>
      <c r="D11" s="5">
        <v>0.76</v>
      </c>
      <c r="E11" s="5">
        <v>1.77</v>
      </c>
      <c r="F11" s="5">
        <v>42.93785310734463</v>
      </c>
      <c r="G11" s="6">
        <v>2005</v>
      </c>
    </row>
    <row r="12" spans="1:7" s="37" customFormat="1" ht="12.75">
      <c r="A12" s="37" t="s">
        <v>562</v>
      </c>
      <c r="B12" s="14" t="s">
        <v>534</v>
      </c>
      <c r="C12" s="5">
        <v>1.07</v>
      </c>
      <c r="D12" s="5">
        <v>0.64</v>
      </c>
      <c r="E12" s="5">
        <v>1.71</v>
      </c>
      <c r="F12" s="5">
        <v>37.42690058479533</v>
      </c>
      <c r="G12" s="6">
        <v>1998</v>
      </c>
    </row>
    <row r="13" spans="1:7" s="37" customFormat="1" ht="12.75">
      <c r="A13" s="37" t="s">
        <v>561</v>
      </c>
      <c r="B13" s="40" t="s">
        <v>480</v>
      </c>
      <c r="C13" s="5">
        <v>1.12</v>
      </c>
      <c r="D13" s="5">
        <v>2.7</v>
      </c>
      <c r="E13" s="5">
        <v>3.82</v>
      </c>
      <c r="F13" s="5">
        <v>70.68062827225131</v>
      </c>
      <c r="G13" s="6">
        <v>2000</v>
      </c>
    </row>
    <row r="14" spans="1:7" s="37" customFormat="1" ht="12.75">
      <c r="A14" t="s">
        <v>564</v>
      </c>
      <c r="B14" s="70" t="s">
        <v>194</v>
      </c>
      <c r="C14" s="5">
        <v>1.2</v>
      </c>
      <c r="D14" s="5">
        <v>0.9</v>
      </c>
      <c r="E14" s="5">
        <v>2.1</v>
      </c>
      <c r="F14" s="5">
        <v>42.857142857142854</v>
      </c>
      <c r="G14" s="6">
        <v>2002</v>
      </c>
    </row>
    <row r="15" spans="1:7" s="37" customFormat="1" ht="12.75">
      <c r="A15" s="37" t="s">
        <v>562</v>
      </c>
      <c r="B15" s="14" t="s">
        <v>524</v>
      </c>
      <c r="C15" s="5">
        <v>1.2816</v>
      </c>
      <c r="D15" s="5">
        <v>2.3184</v>
      </c>
      <c r="E15" s="5">
        <v>3.6</v>
      </c>
      <c r="F15" s="5">
        <v>64.4</v>
      </c>
      <c r="G15" s="6">
        <v>2002</v>
      </c>
    </row>
    <row r="16" spans="1:13" ht="12.75">
      <c r="A16" s="37" t="s">
        <v>559</v>
      </c>
      <c r="B16" s="14" t="s">
        <v>234</v>
      </c>
      <c r="C16" s="5">
        <v>1.3</v>
      </c>
      <c r="D16" s="5">
        <v>0.7</v>
      </c>
      <c r="E16" s="5">
        <v>2</v>
      </c>
      <c r="F16" s="5">
        <v>35</v>
      </c>
      <c r="G16" s="6">
        <v>2004</v>
      </c>
      <c r="H16" s="69"/>
      <c r="I16" s="67"/>
      <c r="J16" s="67"/>
      <c r="K16" s="67"/>
      <c r="L16" s="67"/>
      <c r="M16" s="67"/>
    </row>
    <row r="17" spans="1:7" ht="12.75">
      <c r="A17" s="37" t="s">
        <v>561</v>
      </c>
      <c r="B17" s="14" t="s">
        <v>197</v>
      </c>
      <c r="C17" s="5">
        <v>1.39</v>
      </c>
      <c r="D17" s="5" t="s">
        <v>193</v>
      </c>
      <c r="E17" s="5" t="s">
        <v>193</v>
      </c>
      <c r="F17" s="5" t="s">
        <v>193</v>
      </c>
      <c r="G17" s="6">
        <v>2000</v>
      </c>
    </row>
    <row r="18" spans="1:7" s="37" customFormat="1" ht="12.75">
      <c r="A18" t="s">
        <v>559</v>
      </c>
      <c r="B18" s="14" t="s">
        <v>235</v>
      </c>
      <c r="C18" s="5">
        <v>1.4</v>
      </c>
      <c r="D18" s="5">
        <v>0.4</v>
      </c>
      <c r="E18" s="5">
        <v>1.8</v>
      </c>
      <c r="F18" s="5">
        <v>22.222222222222225</v>
      </c>
      <c r="G18" s="6">
        <v>2004</v>
      </c>
    </row>
    <row r="19" spans="1:7" ht="12.75">
      <c r="A19" s="37" t="s">
        <v>563</v>
      </c>
      <c r="B19" s="14" t="s">
        <v>228</v>
      </c>
      <c r="C19" s="5">
        <v>1.4</v>
      </c>
      <c r="D19" s="5" t="s">
        <v>193</v>
      </c>
      <c r="E19" s="5" t="s">
        <v>193</v>
      </c>
      <c r="F19" s="5" t="s">
        <v>193</v>
      </c>
      <c r="G19" s="6">
        <v>1999</v>
      </c>
    </row>
    <row r="20" spans="1:7" s="37" customFormat="1" ht="12.75">
      <c r="A20" t="s">
        <v>563</v>
      </c>
      <c r="B20" s="70" t="s">
        <v>232</v>
      </c>
      <c r="C20" s="5">
        <v>1.5</v>
      </c>
      <c r="D20" s="5">
        <v>1.1</v>
      </c>
      <c r="E20" s="5">
        <v>2.6</v>
      </c>
      <c r="F20" s="5">
        <v>42.30769230769231</v>
      </c>
      <c r="G20" s="6">
        <v>1998</v>
      </c>
    </row>
    <row r="21" spans="1:7" s="37" customFormat="1" ht="12.75">
      <c r="A21" s="37" t="s">
        <v>562</v>
      </c>
      <c r="B21" s="14" t="s">
        <v>249</v>
      </c>
      <c r="C21" s="5">
        <v>1.6</v>
      </c>
      <c r="D21" s="5">
        <v>2.5</v>
      </c>
      <c r="E21" s="5">
        <v>4.1</v>
      </c>
      <c r="F21" s="5">
        <v>60.97560975609757</v>
      </c>
      <c r="G21" s="6">
        <v>1999</v>
      </c>
    </row>
    <row r="22" spans="1:7" s="37" customFormat="1" ht="12.75">
      <c r="A22" s="37" t="s">
        <v>563</v>
      </c>
      <c r="B22" s="14" t="s">
        <v>459</v>
      </c>
      <c r="C22" s="5">
        <v>1.64</v>
      </c>
      <c r="D22" s="5">
        <v>0.43</v>
      </c>
      <c r="E22" s="5">
        <v>2.07</v>
      </c>
      <c r="F22" s="5">
        <v>20.77294685990338</v>
      </c>
      <c r="G22" s="6">
        <v>2006</v>
      </c>
    </row>
    <row r="23" spans="1:7" s="37" customFormat="1" ht="12.75">
      <c r="A23" t="s">
        <v>564</v>
      </c>
      <c r="B23" s="70" t="s">
        <v>192</v>
      </c>
      <c r="C23" s="5">
        <v>1.66</v>
      </c>
      <c r="D23" s="5">
        <v>4.4</v>
      </c>
      <c r="E23" s="5">
        <v>6.1</v>
      </c>
      <c r="F23" s="5">
        <v>72.13114754098362</v>
      </c>
      <c r="G23" s="6">
        <v>1999</v>
      </c>
    </row>
    <row r="24" spans="1:7" s="37" customFormat="1" ht="12.75">
      <c r="A24" s="37" t="s">
        <v>560</v>
      </c>
      <c r="B24" s="14" t="s">
        <v>222</v>
      </c>
      <c r="C24" s="5">
        <v>1.8</v>
      </c>
      <c r="D24" s="5">
        <v>0.2</v>
      </c>
      <c r="E24" s="5">
        <v>1.9</v>
      </c>
      <c r="F24" s="5">
        <v>10.526315789473685</v>
      </c>
      <c r="G24" s="6">
        <v>1999</v>
      </c>
    </row>
    <row r="25" spans="1:7" s="37" customFormat="1" ht="12.75">
      <c r="A25" s="37" t="s">
        <v>562</v>
      </c>
      <c r="B25" s="14" t="s">
        <v>245</v>
      </c>
      <c r="C25" s="5">
        <v>1.8</v>
      </c>
      <c r="D25" s="5">
        <v>1.1</v>
      </c>
      <c r="E25" s="5">
        <v>2.9</v>
      </c>
      <c r="F25" s="5">
        <v>37.931034482758626</v>
      </c>
      <c r="G25" s="6">
        <v>2004</v>
      </c>
    </row>
    <row r="26" spans="1:7" s="37" customFormat="1" ht="12.75">
      <c r="A26" t="s">
        <v>562</v>
      </c>
      <c r="B26" s="14" t="s">
        <v>246</v>
      </c>
      <c r="C26" s="5">
        <v>1.8</v>
      </c>
      <c r="D26" s="5">
        <v>1.6</v>
      </c>
      <c r="E26" s="5">
        <v>3.4</v>
      </c>
      <c r="F26" s="5">
        <v>47.05882352941177</v>
      </c>
      <c r="G26" s="6">
        <v>2001</v>
      </c>
    </row>
    <row r="27" spans="1:7" s="37" customFormat="1" ht="12.75">
      <c r="A27" s="37" t="s">
        <v>562</v>
      </c>
      <c r="B27" s="14" t="s">
        <v>128</v>
      </c>
      <c r="C27" s="5">
        <v>1.84</v>
      </c>
      <c r="D27" s="5">
        <v>0.4</v>
      </c>
      <c r="E27" s="5">
        <v>2.24</v>
      </c>
      <c r="F27" s="5">
        <v>17.857142857142858</v>
      </c>
      <c r="G27" s="6">
        <v>2000</v>
      </c>
    </row>
    <row r="28" spans="1:7" s="37" customFormat="1" ht="12.75">
      <c r="A28" t="s">
        <v>559</v>
      </c>
      <c r="B28" s="14" t="s">
        <v>236</v>
      </c>
      <c r="C28" s="5">
        <v>2</v>
      </c>
      <c r="D28" s="5">
        <v>1</v>
      </c>
      <c r="E28" s="5">
        <v>3</v>
      </c>
      <c r="F28" s="5">
        <v>33.33333333333333</v>
      </c>
      <c r="G28" s="6">
        <v>2004</v>
      </c>
    </row>
    <row r="29" spans="1:7" s="37" customFormat="1" ht="12.75">
      <c r="A29" t="s">
        <v>559</v>
      </c>
      <c r="B29" s="14" t="s">
        <v>109</v>
      </c>
      <c r="C29" s="5">
        <v>2.1</v>
      </c>
      <c r="D29" s="5">
        <v>2.2</v>
      </c>
      <c r="E29" s="5">
        <v>4.3</v>
      </c>
      <c r="F29" s="5">
        <v>51.16279069767441</v>
      </c>
      <c r="G29" s="6">
        <v>2004</v>
      </c>
    </row>
    <row r="30" spans="1:7" s="37" customFormat="1" ht="12.75">
      <c r="A30" s="37" t="s">
        <v>561</v>
      </c>
      <c r="B30" s="14" t="s">
        <v>105</v>
      </c>
      <c r="C30" s="5">
        <v>2.5</v>
      </c>
      <c r="D30" s="5">
        <v>0.4</v>
      </c>
      <c r="E30" s="5">
        <v>2.9</v>
      </c>
      <c r="F30" s="5">
        <v>13.793103448275861</v>
      </c>
      <c r="G30" s="6">
        <v>2004</v>
      </c>
    </row>
    <row r="31" spans="1:7" s="37" customFormat="1" ht="12.75">
      <c r="A31" t="s">
        <v>562</v>
      </c>
      <c r="B31" s="14" t="s">
        <v>251</v>
      </c>
      <c r="C31" s="5">
        <v>2.6</v>
      </c>
      <c r="D31" s="5">
        <v>1</v>
      </c>
      <c r="E31" s="5">
        <v>3.5</v>
      </c>
      <c r="F31" s="5">
        <v>28.57142857142857</v>
      </c>
      <c r="G31" s="6">
        <v>2002</v>
      </c>
    </row>
    <row r="32" spans="1:7" s="37" customFormat="1" ht="12.75">
      <c r="A32" t="s">
        <v>562</v>
      </c>
      <c r="B32" s="14" t="s">
        <v>256</v>
      </c>
      <c r="C32" s="5">
        <v>2.7</v>
      </c>
      <c r="D32" s="5">
        <v>1</v>
      </c>
      <c r="E32" s="5">
        <v>3.7</v>
      </c>
      <c r="F32" s="5">
        <v>27.027027027027025</v>
      </c>
      <c r="G32" s="6">
        <v>2000</v>
      </c>
    </row>
    <row r="33" spans="1:7" s="37" customFormat="1" ht="12.75">
      <c r="A33" s="37" t="s">
        <v>560</v>
      </c>
      <c r="B33" s="14" t="s">
        <v>211</v>
      </c>
      <c r="C33" s="5">
        <v>2.7</v>
      </c>
      <c r="D33" s="5">
        <v>1.5</v>
      </c>
      <c r="E33" s="5">
        <v>4.2</v>
      </c>
      <c r="F33" s="5">
        <v>35.714285714285715</v>
      </c>
      <c r="G33" s="6">
        <v>2000</v>
      </c>
    </row>
    <row r="34" spans="1:7" s="37" customFormat="1" ht="12.75">
      <c r="A34" t="s">
        <v>561</v>
      </c>
      <c r="B34" s="14" t="s">
        <v>468</v>
      </c>
      <c r="C34" s="5">
        <v>2.7</v>
      </c>
      <c r="D34" s="5">
        <v>1.61</v>
      </c>
      <c r="E34" s="5">
        <v>4.31</v>
      </c>
      <c r="F34" s="5">
        <v>37.35498839907193</v>
      </c>
      <c r="G34" s="6">
        <v>2000</v>
      </c>
    </row>
    <row r="35" spans="1:7" s="37" customFormat="1" ht="12.75">
      <c r="A35" s="44" t="s">
        <v>561</v>
      </c>
      <c r="B35" s="14" t="s">
        <v>201</v>
      </c>
      <c r="C35" s="5">
        <v>2.77</v>
      </c>
      <c r="D35" s="5">
        <v>1.9</v>
      </c>
      <c r="E35" s="5">
        <v>4.67</v>
      </c>
      <c r="F35" s="5">
        <v>40.685224839400426</v>
      </c>
      <c r="G35" s="6">
        <v>1998</v>
      </c>
    </row>
    <row r="36" spans="1:7" s="37" customFormat="1" ht="12.75">
      <c r="A36" s="37" t="s">
        <v>560</v>
      </c>
      <c r="B36" s="14" t="s">
        <v>204</v>
      </c>
      <c r="C36" s="5">
        <v>3</v>
      </c>
      <c r="D36" s="5">
        <v>2.1</v>
      </c>
      <c r="E36" s="5">
        <v>5.11</v>
      </c>
      <c r="F36" s="5">
        <v>41.0958904109589</v>
      </c>
      <c r="G36" s="6">
        <v>2002</v>
      </c>
    </row>
    <row r="37" spans="1:7" s="37" customFormat="1" ht="12.75">
      <c r="A37" t="s">
        <v>561</v>
      </c>
      <c r="B37" s="14" t="s">
        <v>98</v>
      </c>
      <c r="C37" s="5">
        <v>3.16</v>
      </c>
      <c r="D37" s="5">
        <v>15.94</v>
      </c>
      <c r="E37" s="5">
        <v>19.1</v>
      </c>
      <c r="F37" s="5">
        <v>83.45549738219894</v>
      </c>
      <c r="G37" s="6">
        <v>2004</v>
      </c>
    </row>
    <row r="38" spans="1:7" s="37" customFormat="1" ht="12.75">
      <c r="A38" s="37" t="s">
        <v>562</v>
      </c>
      <c r="B38" s="14" t="s">
        <v>254</v>
      </c>
      <c r="C38" s="5">
        <v>3.18</v>
      </c>
      <c r="D38" s="5">
        <v>0.71</v>
      </c>
      <c r="E38" s="5">
        <v>3.89</v>
      </c>
      <c r="F38" s="5">
        <v>18.25192802056555</v>
      </c>
      <c r="G38" s="6">
        <v>2005</v>
      </c>
    </row>
    <row r="39" spans="1:7" s="44" customFormat="1" ht="12.75">
      <c r="A39" s="37" t="s">
        <v>560</v>
      </c>
      <c r="B39" s="14" t="s">
        <v>213</v>
      </c>
      <c r="C39" s="5">
        <v>3.2</v>
      </c>
      <c r="D39" s="5">
        <v>2.2</v>
      </c>
      <c r="E39" s="5">
        <v>5.4</v>
      </c>
      <c r="F39" s="5">
        <v>40.74074074074075</v>
      </c>
      <c r="G39" s="6">
        <v>2002</v>
      </c>
    </row>
    <row r="40" spans="1:7" s="37" customFormat="1" ht="12.75">
      <c r="A40" s="37" t="s">
        <v>560</v>
      </c>
      <c r="B40" s="14" t="s">
        <v>214</v>
      </c>
      <c r="C40" s="5">
        <v>3.3</v>
      </c>
      <c r="D40" s="5">
        <v>2.5</v>
      </c>
      <c r="E40" s="5">
        <v>5.8</v>
      </c>
      <c r="F40" s="5">
        <v>43.10344827586207</v>
      </c>
      <c r="G40" s="6">
        <v>2003</v>
      </c>
    </row>
    <row r="41" spans="1:7" s="37" customFormat="1" ht="12.75">
      <c r="A41" t="s">
        <v>562</v>
      </c>
      <c r="B41" s="70" t="s">
        <v>243</v>
      </c>
      <c r="C41" s="5">
        <v>3.41</v>
      </c>
      <c r="D41" s="5">
        <v>2.15</v>
      </c>
      <c r="E41" s="5">
        <v>5.56</v>
      </c>
      <c r="F41" s="5">
        <v>38.66906474820144</v>
      </c>
      <c r="G41" s="6">
        <v>2000</v>
      </c>
    </row>
    <row r="42" spans="1:7" s="37" customFormat="1" ht="12.75">
      <c r="A42" t="s">
        <v>560</v>
      </c>
      <c r="B42" s="70" t="s">
        <v>205</v>
      </c>
      <c r="C42" s="5">
        <v>3.7</v>
      </c>
      <c r="D42" s="5">
        <v>1.6</v>
      </c>
      <c r="E42" s="5">
        <v>5.3</v>
      </c>
      <c r="F42" s="5">
        <v>30.188679245283023</v>
      </c>
      <c r="G42" s="6">
        <v>2001</v>
      </c>
    </row>
    <row r="43" spans="1:7" s="37" customFormat="1" ht="12.75">
      <c r="A43" s="37" t="s">
        <v>561</v>
      </c>
      <c r="B43" s="14" t="s">
        <v>199</v>
      </c>
      <c r="C43" s="5">
        <v>4</v>
      </c>
      <c r="D43" s="5">
        <v>1.31</v>
      </c>
      <c r="E43" s="5">
        <v>5.31</v>
      </c>
      <c r="F43" s="5">
        <v>24.670433145009415</v>
      </c>
      <c r="G43" s="6">
        <v>2002</v>
      </c>
    </row>
    <row r="44" spans="1:7" s="37" customFormat="1" ht="12.75">
      <c r="A44" s="37" t="s">
        <v>562</v>
      </c>
      <c r="B44" s="14" t="s">
        <v>127</v>
      </c>
      <c r="C44" s="5">
        <v>4.2</v>
      </c>
      <c r="D44" s="5">
        <v>1</v>
      </c>
      <c r="E44" s="5">
        <v>5.2</v>
      </c>
      <c r="F44" s="5">
        <v>19.23076923076923</v>
      </c>
      <c r="G44" s="6">
        <v>2000</v>
      </c>
    </row>
    <row r="45" spans="1:7" s="37" customFormat="1" ht="12.75">
      <c r="A45" s="37" t="s">
        <v>561</v>
      </c>
      <c r="B45" s="14" t="s">
        <v>202</v>
      </c>
      <c r="C45" s="5">
        <v>4.2</v>
      </c>
      <c r="D45" s="5">
        <v>2.32</v>
      </c>
      <c r="E45" s="5">
        <v>6.52</v>
      </c>
      <c r="F45" s="5">
        <v>35.58282208588957</v>
      </c>
      <c r="G45" s="6">
        <v>2000</v>
      </c>
    </row>
    <row r="46" spans="1:7" s="37" customFormat="1" ht="12.75">
      <c r="A46" t="s">
        <v>564</v>
      </c>
      <c r="B46" s="70" t="s">
        <v>179</v>
      </c>
      <c r="C46" s="5">
        <v>4.2</v>
      </c>
      <c r="D46" s="5">
        <v>5.3</v>
      </c>
      <c r="E46" s="5">
        <v>9.5</v>
      </c>
      <c r="F46" s="5">
        <v>55.78947368421052</v>
      </c>
      <c r="G46" s="6">
        <v>2001</v>
      </c>
    </row>
    <row r="47" spans="1:7" s="37" customFormat="1" ht="12.75">
      <c r="A47" s="37" t="s">
        <v>562</v>
      </c>
      <c r="B47" s="14" t="s">
        <v>242</v>
      </c>
      <c r="C47" s="5">
        <v>4.3</v>
      </c>
      <c r="D47" s="5">
        <v>1.5</v>
      </c>
      <c r="E47" s="5">
        <v>5.8</v>
      </c>
      <c r="F47" s="5">
        <v>25.862068965517242</v>
      </c>
      <c r="G47" s="6">
        <v>2004</v>
      </c>
    </row>
    <row r="48" spans="1:7" s="37" customFormat="1" ht="12.75">
      <c r="A48" t="s">
        <v>562</v>
      </c>
      <c r="B48" s="70" t="s">
        <v>253</v>
      </c>
      <c r="C48" s="5">
        <v>5</v>
      </c>
      <c r="D48" s="5">
        <v>1.7</v>
      </c>
      <c r="E48" s="5">
        <v>6.7</v>
      </c>
      <c r="F48" s="5">
        <v>25.37313432835821</v>
      </c>
      <c r="G48" s="6">
        <v>2005</v>
      </c>
    </row>
    <row r="49" spans="1:7" s="37" customFormat="1" ht="12.75">
      <c r="A49" t="s">
        <v>561</v>
      </c>
      <c r="B49" s="70" t="s">
        <v>196</v>
      </c>
      <c r="C49" s="5">
        <v>5</v>
      </c>
      <c r="D49" s="5">
        <v>3.7</v>
      </c>
      <c r="E49" s="5">
        <v>8.7</v>
      </c>
      <c r="F49" s="5">
        <v>42.52873563218391</v>
      </c>
      <c r="G49" s="6">
        <v>2000</v>
      </c>
    </row>
    <row r="50" spans="1:7" s="37" customFormat="1" ht="12.75">
      <c r="A50" s="37" t="s">
        <v>560</v>
      </c>
      <c r="B50" s="14" t="s">
        <v>215</v>
      </c>
      <c r="C50" s="5">
        <v>5.1</v>
      </c>
      <c r="D50" s="5">
        <v>0.7</v>
      </c>
      <c r="E50" s="5">
        <v>5.8</v>
      </c>
      <c r="F50" s="5">
        <v>12.068965517241379</v>
      </c>
      <c r="G50" s="6">
        <v>2001</v>
      </c>
    </row>
    <row r="51" spans="1:7" s="37" customFormat="1" ht="12.75">
      <c r="A51" s="37" t="s">
        <v>561</v>
      </c>
      <c r="B51" s="14" t="s">
        <v>198</v>
      </c>
      <c r="C51" s="5">
        <v>5.1</v>
      </c>
      <c r="D51" s="5">
        <v>4.9</v>
      </c>
      <c r="E51" s="5">
        <v>10</v>
      </c>
      <c r="F51" s="5">
        <v>49</v>
      </c>
      <c r="G51" s="6">
        <v>2003</v>
      </c>
    </row>
    <row r="52" spans="1:7" s="37" customFormat="1" ht="12.75">
      <c r="A52" t="s">
        <v>562</v>
      </c>
      <c r="B52" s="14" t="s">
        <v>252</v>
      </c>
      <c r="C52" s="5">
        <v>5.4</v>
      </c>
      <c r="D52" s="5">
        <v>1.1</v>
      </c>
      <c r="E52" s="5">
        <v>6.5</v>
      </c>
      <c r="F52" s="5">
        <v>16.923076923076923</v>
      </c>
      <c r="G52" s="6">
        <v>2000</v>
      </c>
    </row>
    <row r="53" spans="1:7" s="37" customFormat="1" ht="12.75">
      <c r="A53" s="37" t="s">
        <v>560</v>
      </c>
      <c r="B53" s="14" t="s">
        <v>203</v>
      </c>
      <c r="C53" s="5">
        <v>5.5</v>
      </c>
      <c r="D53" s="5">
        <v>1.2</v>
      </c>
      <c r="E53" s="5">
        <v>6.7</v>
      </c>
      <c r="F53" s="5">
        <v>17.91044776119403</v>
      </c>
      <c r="G53" s="6">
        <v>2005</v>
      </c>
    </row>
    <row r="54" spans="1:7" s="37" customFormat="1" ht="12.75">
      <c r="A54" s="37" t="s">
        <v>562</v>
      </c>
      <c r="B54" s="40" t="s">
        <v>241</v>
      </c>
      <c r="C54" s="5">
        <v>5.9</v>
      </c>
      <c r="D54" s="5">
        <v>0.6</v>
      </c>
      <c r="E54" s="5">
        <v>6.5</v>
      </c>
      <c r="F54" s="5">
        <v>9.23076923076923</v>
      </c>
      <c r="G54" s="6">
        <v>2004</v>
      </c>
    </row>
    <row r="55" spans="1:7" ht="12.75">
      <c r="A55" t="s">
        <v>561</v>
      </c>
      <c r="B55" s="14" t="s">
        <v>200</v>
      </c>
      <c r="C55" s="5">
        <v>5.9</v>
      </c>
      <c r="D55" s="5" t="s">
        <v>193</v>
      </c>
      <c r="E55" s="5" t="s">
        <v>193</v>
      </c>
      <c r="F55" s="5" t="s">
        <v>193</v>
      </c>
      <c r="G55" s="6">
        <v>1996</v>
      </c>
    </row>
    <row r="56" spans="1:7" s="37" customFormat="1" ht="12.75">
      <c r="A56" t="s">
        <v>563</v>
      </c>
      <c r="B56" s="70" t="s">
        <v>229</v>
      </c>
      <c r="C56" s="5">
        <v>5.9495</v>
      </c>
      <c r="D56" s="5">
        <v>1.3505000000000003</v>
      </c>
      <c r="E56" s="5">
        <v>7.3</v>
      </c>
      <c r="F56" s="5">
        <v>18.5</v>
      </c>
      <c r="G56" s="6">
        <v>2000</v>
      </c>
    </row>
    <row r="57" spans="1:7" s="37" customFormat="1" ht="12.75">
      <c r="A57" s="37" t="s">
        <v>562</v>
      </c>
      <c r="B57" s="14" t="s">
        <v>238</v>
      </c>
      <c r="C57" s="5">
        <v>6.3</v>
      </c>
      <c r="D57" s="5">
        <v>2</v>
      </c>
      <c r="E57" s="5">
        <v>8.3</v>
      </c>
      <c r="F57" s="5">
        <v>24.096385542168672</v>
      </c>
      <c r="G57" s="6">
        <v>2002</v>
      </c>
    </row>
    <row r="58" spans="1:7" s="37" customFormat="1" ht="12.75">
      <c r="A58" s="37" t="s">
        <v>562</v>
      </c>
      <c r="B58" s="14" t="s">
        <v>240</v>
      </c>
      <c r="C58" s="5">
        <v>6.9</v>
      </c>
      <c r="D58" s="5">
        <v>0.7</v>
      </c>
      <c r="E58" s="5">
        <v>7.6</v>
      </c>
      <c r="F58" s="5">
        <v>9.210526315789473</v>
      </c>
      <c r="G58" s="6">
        <v>2003</v>
      </c>
    </row>
    <row r="59" spans="1:7" s="37" customFormat="1" ht="12.75">
      <c r="A59" s="37" t="s">
        <v>560</v>
      </c>
      <c r="B59" s="14" t="s">
        <v>225</v>
      </c>
      <c r="C59" s="5">
        <v>7</v>
      </c>
      <c r="D59" s="5">
        <v>2</v>
      </c>
      <c r="E59" s="5">
        <v>9</v>
      </c>
      <c r="F59" s="5">
        <v>22.22222222222222</v>
      </c>
      <c r="G59" s="6">
        <v>2000</v>
      </c>
    </row>
    <row r="60" spans="1:7" s="37" customFormat="1" ht="12.75">
      <c r="A60" s="37" t="s">
        <v>560</v>
      </c>
      <c r="B60" s="14" t="s">
        <v>220</v>
      </c>
      <c r="C60" s="5">
        <v>7.2</v>
      </c>
      <c r="D60" s="5">
        <v>1.8</v>
      </c>
      <c r="E60" s="5">
        <v>9</v>
      </c>
      <c r="F60" s="5">
        <v>20</v>
      </c>
      <c r="G60" s="6">
        <v>2006</v>
      </c>
    </row>
    <row r="61" spans="1:7" s="37" customFormat="1" ht="12.75">
      <c r="A61" s="37" t="s">
        <v>560</v>
      </c>
      <c r="B61" s="14" t="s">
        <v>223</v>
      </c>
      <c r="C61" s="5">
        <v>7.2</v>
      </c>
      <c r="D61" s="5">
        <v>2.1</v>
      </c>
      <c r="E61" s="5">
        <v>9.3</v>
      </c>
      <c r="F61" s="5">
        <v>22.580645161290327</v>
      </c>
      <c r="G61" s="6">
        <v>2004</v>
      </c>
    </row>
    <row r="62" spans="1:7" s="37" customFormat="1" ht="12.75">
      <c r="A62" t="s">
        <v>560</v>
      </c>
      <c r="B62" s="70" t="s">
        <v>217</v>
      </c>
      <c r="C62" s="5">
        <v>7.5342</v>
      </c>
      <c r="D62" s="5">
        <v>1.7</v>
      </c>
      <c r="E62" s="5">
        <v>9.2342</v>
      </c>
      <c r="F62" s="5">
        <v>18.4098243486171</v>
      </c>
      <c r="G62" s="6">
        <v>2005</v>
      </c>
    </row>
    <row r="63" spans="1:7" s="37" customFormat="1" ht="12.75">
      <c r="A63" t="s">
        <v>562</v>
      </c>
      <c r="B63" s="70" t="s">
        <v>237</v>
      </c>
      <c r="C63" s="5">
        <v>7.7</v>
      </c>
      <c r="D63" s="5">
        <v>1.5</v>
      </c>
      <c r="E63" s="5">
        <v>9.2</v>
      </c>
      <c r="F63" s="5">
        <v>16.304347826086957</v>
      </c>
      <c r="G63" s="6">
        <v>2004</v>
      </c>
    </row>
    <row r="64" spans="1:7" s="37" customFormat="1" ht="12.75">
      <c r="A64" s="37" t="s">
        <v>560</v>
      </c>
      <c r="B64" s="14" t="s">
        <v>219</v>
      </c>
      <c r="C64" s="5">
        <v>8.9</v>
      </c>
      <c r="D64" s="5">
        <v>1.1</v>
      </c>
      <c r="E64" s="5">
        <v>10</v>
      </c>
      <c r="F64" s="5">
        <v>11</v>
      </c>
      <c r="G64" s="6">
        <v>2002</v>
      </c>
    </row>
    <row r="65" spans="1:7" s="37" customFormat="1" ht="12.75">
      <c r="A65" t="s">
        <v>560</v>
      </c>
      <c r="B65" s="14" t="s">
        <v>207</v>
      </c>
      <c r="C65" s="5">
        <v>8.9</v>
      </c>
      <c r="D65" s="5">
        <v>6.9</v>
      </c>
      <c r="E65" s="5">
        <v>15.8</v>
      </c>
      <c r="F65" s="5">
        <v>43.67088607594937</v>
      </c>
      <c r="G65" s="6">
        <v>2000</v>
      </c>
    </row>
    <row r="66" spans="1:7" s="37" customFormat="1" ht="12.75">
      <c r="A66" s="37" t="s">
        <v>560</v>
      </c>
      <c r="B66" s="40" t="s">
        <v>221</v>
      </c>
      <c r="C66" s="5">
        <v>9.4</v>
      </c>
      <c r="D66" s="5">
        <v>3.7</v>
      </c>
      <c r="E66" s="5">
        <v>13.1</v>
      </c>
      <c r="F66" s="5">
        <v>28.24427480916031</v>
      </c>
      <c r="G66" s="6">
        <v>2002</v>
      </c>
    </row>
    <row r="67" spans="1:7" s="37" customFormat="1" ht="12.75">
      <c r="A67" s="37" t="s">
        <v>560</v>
      </c>
      <c r="B67" s="14" t="s">
        <v>208</v>
      </c>
      <c r="C67" s="5">
        <v>9.5</v>
      </c>
      <c r="D67" s="5">
        <v>1.2</v>
      </c>
      <c r="E67" s="5">
        <v>10.7</v>
      </c>
      <c r="F67" s="5">
        <v>11.214953271028037</v>
      </c>
      <c r="G67" s="6">
        <v>2004</v>
      </c>
    </row>
    <row r="68" spans="1:7" s="37" customFormat="1" ht="12.75">
      <c r="A68" s="37" t="s">
        <v>562</v>
      </c>
      <c r="B68" s="14" t="s">
        <v>257</v>
      </c>
      <c r="C68" s="5">
        <v>9.6</v>
      </c>
      <c r="D68" s="5">
        <v>0.5</v>
      </c>
      <c r="E68" s="5">
        <v>10.1</v>
      </c>
      <c r="F68" s="5">
        <v>4.9504950495049505</v>
      </c>
      <c r="G68" s="6">
        <v>2005</v>
      </c>
    </row>
    <row r="69" spans="1:7" s="37" customFormat="1" ht="12.75">
      <c r="A69" s="37" t="s">
        <v>560</v>
      </c>
      <c r="B69" s="14" t="s">
        <v>224</v>
      </c>
      <c r="C69" s="5">
        <v>9.8</v>
      </c>
      <c r="D69" s="5">
        <v>3.2</v>
      </c>
      <c r="E69" s="5">
        <v>13</v>
      </c>
      <c r="F69" s="5">
        <v>24.615384615384617</v>
      </c>
      <c r="G69" s="6">
        <v>2000</v>
      </c>
    </row>
    <row r="70" spans="1:7" s="37" customFormat="1" ht="12.75">
      <c r="A70" s="37" t="s">
        <v>560</v>
      </c>
      <c r="B70" s="14" t="s">
        <v>216</v>
      </c>
      <c r="C70" s="5">
        <v>9.935</v>
      </c>
      <c r="D70" s="5">
        <v>1.345</v>
      </c>
      <c r="E70" s="5">
        <v>11.285</v>
      </c>
      <c r="F70" s="5">
        <v>11.918475852902082</v>
      </c>
      <c r="G70" s="6">
        <v>2001</v>
      </c>
    </row>
    <row r="71" spans="1:7" s="37" customFormat="1" ht="12.75">
      <c r="A71" s="37" t="s">
        <v>560</v>
      </c>
      <c r="B71" s="14" t="s">
        <v>494</v>
      </c>
      <c r="C71" s="5">
        <v>10.6</v>
      </c>
      <c r="D71" s="5">
        <v>1.4</v>
      </c>
      <c r="E71" s="5">
        <v>12</v>
      </c>
      <c r="F71" s="5">
        <v>11.666666666666666</v>
      </c>
      <c r="G71" s="6">
        <v>2000</v>
      </c>
    </row>
    <row r="72" spans="1:7" s="37" customFormat="1" ht="12.75">
      <c r="A72" t="s">
        <v>560</v>
      </c>
      <c r="B72" s="70" t="s">
        <v>210</v>
      </c>
      <c r="C72" s="5">
        <v>11.4</v>
      </c>
      <c r="D72" s="5">
        <v>2.4</v>
      </c>
      <c r="E72" s="5">
        <v>13.8</v>
      </c>
      <c r="F72" s="5">
        <v>17.391304347826086</v>
      </c>
      <c r="G72" s="6">
        <v>2000</v>
      </c>
    </row>
    <row r="73" spans="1:7" s="37" customFormat="1" ht="12.75">
      <c r="A73" t="s">
        <v>562</v>
      </c>
      <c r="B73" s="70" t="s">
        <v>239</v>
      </c>
      <c r="C73" s="5">
        <v>11.7</v>
      </c>
      <c r="D73" s="5">
        <v>1.4</v>
      </c>
      <c r="E73" s="5">
        <v>13.1</v>
      </c>
      <c r="F73" s="5">
        <v>10.687022900763358</v>
      </c>
      <c r="G73" s="6">
        <v>2004</v>
      </c>
    </row>
    <row r="74" spans="1:7" s="37" customFormat="1" ht="12.75">
      <c r="A74" s="37" t="s">
        <v>560</v>
      </c>
      <c r="B74" s="14" t="s">
        <v>209</v>
      </c>
      <c r="C74" s="5">
        <v>12.4</v>
      </c>
      <c r="D74" s="5">
        <v>1.8</v>
      </c>
      <c r="E74" s="5">
        <v>14.2</v>
      </c>
      <c r="F74" s="5">
        <v>12.676056338028168</v>
      </c>
      <c r="G74" s="6">
        <v>2000</v>
      </c>
    </row>
    <row r="75" spans="1:7" s="37" customFormat="1" ht="12.75">
      <c r="A75" s="37" t="s">
        <v>560</v>
      </c>
      <c r="B75" s="14" t="s">
        <v>276</v>
      </c>
      <c r="C75" s="5">
        <v>12.6</v>
      </c>
      <c r="D75" s="5">
        <v>1.4</v>
      </c>
      <c r="E75" s="5">
        <v>14</v>
      </c>
      <c r="F75" s="5">
        <v>10</v>
      </c>
      <c r="G75" s="6">
        <v>2005</v>
      </c>
    </row>
    <row r="76" spans="1:8" s="37" customFormat="1" ht="12.75">
      <c r="A76" s="37" t="s">
        <v>560</v>
      </c>
      <c r="B76" s="14" t="s">
        <v>275</v>
      </c>
      <c r="C76" s="5">
        <v>16</v>
      </c>
      <c r="D76" s="5">
        <v>2</v>
      </c>
      <c r="E76" s="5">
        <v>18</v>
      </c>
      <c r="F76" s="5">
        <v>11.11111111111111</v>
      </c>
      <c r="G76" s="6">
        <v>2002</v>
      </c>
      <c r="H76" s="68"/>
    </row>
    <row r="77" spans="1:7" s="37" customFormat="1" ht="12.75">
      <c r="A77" s="37" t="s">
        <v>560</v>
      </c>
      <c r="B77" s="14" t="s">
        <v>218</v>
      </c>
      <c r="C77" s="5">
        <v>16.34</v>
      </c>
      <c r="D77" s="5">
        <v>1.06</v>
      </c>
      <c r="E77" s="5">
        <v>17.4</v>
      </c>
      <c r="F77" s="5">
        <v>6.0919540229885065</v>
      </c>
      <c r="G77" s="6">
        <v>2000</v>
      </c>
    </row>
    <row r="78" spans="1:7" s="37" customFormat="1" ht="12.75">
      <c r="A78" t="s">
        <v>563</v>
      </c>
      <c r="B78" s="70" t="s">
        <v>230</v>
      </c>
      <c r="C78" s="5" t="s">
        <v>193</v>
      </c>
      <c r="D78" s="5">
        <v>0.22</v>
      </c>
      <c r="E78" s="5" t="s">
        <v>193</v>
      </c>
      <c r="F78" s="5" t="s">
        <v>193</v>
      </c>
      <c r="G78" s="6">
        <v>2005</v>
      </c>
    </row>
    <row r="79" spans="1:7" s="37" customFormat="1" ht="12.75">
      <c r="A79" t="s">
        <v>563</v>
      </c>
      <c r="B79" s="70" t="s">
        <v>227</v>
      </c>
      <c r="C79" s="5" t="s">
        <v>193</v>
      </c>
      <c r="D79" s="5">
        <v>1.3</v>
      </c>
      <c r="E79" s="5" t="s">
        <v>193</v>
      </c>
      <c r="F79" s="5" t="s">
        <v>193</v>
      </c>
      <c r="G79" s="6">
        <v>2006</v>
      </c>
    </row>
    <row r="80" spans="1:7" s="37" customFormat="1" ht="12.75">
      <c r="A80" t="s">
        <v>564</v>
      </c>
      <c r="B80" s="70" t="s">
        <v>177</v>
      </c>
      <c r="C80" s="5" t="s">
        <v>193</v>
      </c>
      <c r="D80" s="5">
        <v>3.2</v>
      </c>
      <c r="E80" s="5" t="s">
        <v>193</v>
      </c>
      <c r="F80" s="5" t="s">
        <v>193</v>
      </c>
      <c r="G80" s="6">
        <v>2002</v>
      </c>
    </row>
    <row r="81" spans="1:7" s="37" customFormat="1" ht="12.75">
      <c r="A81" s="37" t="s">
        <v>564</v>
      </c>
      <c r="B81" s="14" t="s">
        <v>274</v>
      </c>
      <c r="C81" s="5" t="s">
        <v>193</v>
      </c>
      <c r="D81" s="5">
        <v>4.5</v>
      </c>
      <c r="E81" s="5" t="s">
        <v>193</v>
      </c>
      <c r="F81" s="5" t="s">
        <v>193</v>
      </c>
      <c r="G81" s="6">
        <v>2001</v>
      </c>
    </row>
    <row r="82" spans="1:7" ht="12.75">
      <c r="A82" t="s">
        <v>564</v>
      </c>
      <c r="B82" s="14" t="s">
        <v>373</v>
      </c>
      <c r="C82" s="5" t="s">
        <v>193</v>
      </c>
      <c r="D82" s="5" t="s">
        <v>193</v>
      </c>
      <c r="E82" s="5">
        <v>2.7</v>
      </c>
      <c r="F82" s="5" t="s">
        <v>193</v>
      </c>
      <c r="G82" s="6">
        <v>1996</v>
      </c>
    </row>
    <row r="83" spans="1:7" ht="12.75">
      <c r="A83" s="37" t="s">
        <v>563</v>
      </c>
      <c r="B83" s="14" t="s">
        <v>226</v>
      </c>
      <c r="C83" s="5" t="s">
        <v>193</v>
      </c>
      <c r="D83" s="5" t="s">
        <v>193</v>
      </c>
      <c r="E83" s="5">
        <v>0.7</v>
      </c>
      <c r="F83" s="5" t="s">
        <v>193</v>
      </c>
      <c r="G83" s="6">
        <v>2002</v>
      </c>
    </row>
    <row r="84" spans="1:7" ht="12.75">
      <c r="A84" s="37" t="s">
        <v>563</v>
      </c>
      <c r="B84" s="14" t="s">
        <v>488</v>
      </c>
      <c r="C84" s="5" t="s">
        <v>193</v>
      </c>
      <c r="D84" s="5" t="s">
        <v>193</v>
      </c>
      <c r="E84" s="5">
        <v>1.9</v>
      </c>
      <c r="F84" s="5" t="s">
        <v>193</v>
      </c>
      <c r="G84" s="6">
        <v>1997</v>
      </c>
    </row>
    <row r="85" spans="1:7" ht="12.75">
      <c r="A85" t="s">
        <v>563</v>
      </c>
      <c r="B85" s="70" t="s">
        <v>231</v>
      </c>
      <c r="C85" s="5" t="s">
        <v>193</v>
      </c>
      <c r="D85" s="5" t="s">
        <v>193</v>
      </c>
      <c r="E85" s="5">
        <v>0.6</v>
      </c>
      <c r="F85" s="5" t="s">
        <v>193</v>
      </c>
      <c r="G85" s="6">
        <v>2001</v>
      </c>
    </row>
    <row r="86" spans="1:7" ht="12.75">
      <c r="A86" t="s">
        <v>560</v>
      </c>
      <c r="B86" s="70" t="s">
        <v>206</v>
      </c>
      <c r="C86" s="5" t="s">
        <v>193</v>
      </c>
      <c r="D86" s="5" t="s">
        <v>193</v>
      </c>
      <c r="E86" s="5">
        <v>14.4</v>
      </c>
      <c r="F86" s="5" t="s">
        <v>193</v>
      </c>
      <c r="G86" s="6">
        <v>2001</v>
      </c>
    </row>
    <row r="87" spans="1:7" ht="12.75">
      <c r="A87" s="37" t="s">
        <v>562</v>
      </c>
      <c r="B87" s="14" t="s">
        <v>248</v>
      </c>
      <c r="C87" s="5" t="s">
        <v>193</v>
      </c>
      <c r="D87" s="5" t="s">
        <v>193</v>
      </c>
      <c r="E87" s="5">
        <v>2</v>
      </c>
      <c r="F87" s="5" t="s">
        <v>193</v>
      </c>
      <c r="G87" s="6">
        <v>2000</v>
      </c>
    </row>
    <row r="88" spans="1:7" ht="12.75">
      <c r="A88" s="37" t="s">
        <v>561</v>
      </c>
      <c r="B88" s="14" t="s">
        <v>195</v>
      </c>
      <c r="C88" s="5" t="s">
        <v>193</v>
      </c>
      <c r="D88" s="5" t="s">
        <v>193</v>
      </c>
      <c r="E88" s="5">
        <v>5.7</v>
      </c>
      <c r="F88" s="5" t="s">
        <v>193</v>
      </c>
      <c r="G88" s="6">
        <v>2001</v>
      </c>
    </row>
  </sheetData>
  <sheetProtection/>
  <autoFilter ref="B1:G88"/>
  <printOptions/>
  <pageMargins left="0.787401575" right="0.787401575" top="0.75" bottom="0.75" header="0.5" footer="0.5"/>
  <pageSetup horizontalDpi="600" verticalDpi="600" orientation="landscape" scale="67" r:id="rId1"/>
  <headerFooter alignWithMargins="0">
    <oddHeader>&amp;L&amp;D&amp;RDRAFT - NOT FOR QUOTATION</oddHeader>
    <oddFooter>&amp;CPlease provide comments and revised or additional data and reports to Christine Weigand (cweigand@worldbank.org). Thank you.</oddFooter>
  </headerFooter>
  <rowBreaks count="7" manualBreakCount="7">
    <brk id="11" min="1" max="9" man="1"/>
    <brk id="20" min="1" max="9" man="1"/>
    <brk id="30" min="1" max="9" man="1"/>
    <brk id="38" min="1" max="9" man="1"/>
    <brk id="46" min="1" max="9" man="1"/>
    <brk id="53" min="1" max="9" man="1"/>
    <brk id="61" min="1" max="9" man="1"/>
  </rowBreaks>
</worksheet>
</file>

<file path=xl/worksheets/sheet9.xml><?xml version="1.0" encoding="utf-8"?>
<worksheet xmlns="http://schemas.openxmlformats.org/spreadsheetml/2006/main" xmlns:r="http://schemas.openxmlformats.org/officeDocument/2006/relationships">
  <sheetPr>
    <tabColor indexed="41"/>
  </sheetPr>
  <dimension ref="A1:M88"/>
  <sheetViews>
    <sheetView zoomScale="75" zoomScaleNormal="75" zoomScalePageLayoutView="0" workbookViewId="0" topLeftCell="A1">
      <pane xSplit="2" ySplit="1" topLeftCell="C2" activePane="bottomRight" state="frozen"/>
      <selection pane="topLeft" activeCell="E2" sqref="E2"/>
      <selection pane="topRight" activeCell="E2" sqref="E2"/>
      <selection pane="bottomLeft" activeCell="E2" sqref="E2"/>
      <selection pane="bottomRight" activeCell="E2" sqref="E2"/>
    </sheetView>
  </sheetViews>
  <sheetFormatPr defaultColWidth="8.8515625" defaultRowHeight="12.75"/>
  <cols>
    <col min="1" max="1" width="8.8515625" style="0" customWidth="1"/>
    <col min="2" max="2" width="19.8515625" style="0" customWidth="1"/>
    <col min="3" max="6" width="13.7109375" style="0" bestFit="1" customWidth="1"/>
  </cols>
  <sheetData>
    <row r="1" spans="2:7" ht="52.5">
      <c r="B1" s="1" t="s">
        <v>258</v>
      </c>
      <c r="C1" s="2" t="s">
        <v>183</v>
      </c>
      <c r="D1" s="2" t="s">
        <v>184</v>
      </c>
      <c r="E1" s="2" t="s">
        <v>185</v>
      </c>
      <c r="F1" s="2" t="s">
        <v>545</v>
      </c>
      <c r="G1" s="2" t="s">
        <v>186</v>
      </c>
    </row>
    <row r="2" spans="1:7" ht="12.75">
      <c r="A2" t="s">
        <v>559</v>
      </c>
      <c r="B2" s="14" t="s">
        <v>87</v>
      </c>
      <c r="C2" s="5">
        <v>0.2</v>
      </c>
      <c r="D2" s="5">
        <v>0.2</v>
      </c>
      <c r="E2" s="5">
        <v>0.4</v>
      </c>
      <c r="F2" s="5">
        <v>50</v>
      </c>
      <c r="G2" s="6">
        <v>2004</v>
      </c>
    </row>
    <row r="3" spans="1:7" ht="12.75">
      <c r="A3" t="s">
        <v>563</v>
      </c>
      <c r="B3" s="70" t="s">
        <v>231</v>
      </c>
      <c r="C3" s="5" t="s">
        <v>193</v>
      </c>
      <c r="D3" s="5" t="s">
        <v>193</v>
      </c>
      <c r="E3" s="5">
        <v>0.6</v>
      </c>
      <c r="F3" s="5" t="s">
        <v>193</v>
      </c>
      <c r="G3" s="6">
        <v>2001</v>
      </c>
    </row>
    <row r="4" spans="1:7" s="37" customFormat="1" ht="12.75">
      <c r="A4" s="37" t="s">
        <v>563</v>
      </c>
      <c r="B4" s="14" t="s">
        <v>226</v>
      </c>
      <c r="C4" s="5" t="s">
        <v>193</v>
      </c>
      <c r="D4" s="5" t="s">
        <v>193</v>
      </c>
      <c r="E4" s="5">
        <v>0.7</v>
      </c>
      <c r="F4" s="5" t="s">
        <v>193</v>
      </c>
      <c r="G4" s="6">
        <v>2002</v>
      </c>
    </row>
    <row r="5" spans="1:7" s="37" customFormat="1" ht="12.75">
      <c r="A5" s="37" t="s">
        <v>564</v>
      </c>
      <c r="B5" s="14" t="s">
        <v>138</v>
      </c>
      <c r="C5" s="5">
        <v>0.85</v>
      </c>
      <c r="D5" s="5">
        <v>0.15</v>
      </c>
      <c r="E5" s="5">
        <v>1</v>
      </c>
      <c r="F5" s="5">
        <v>15</v>
      </c>
      <c r="G5" s="6">
        <v>2004</v>
      </c>
    </row>
    <row r="6" spans="1:7" s="37" customFormat="1" ht="12.75">
      <c r="A6" s="37" t="s">
        <v>562</v>
      </c>
      <c r="B6" s="14" t="s">
        <v>534</v>
      </c>
      <c r="C6" s="5">
        <v>1.07</v>
      </c>
      <c r="D6" s="5">
        <v>0.64</v>
      </c>
      <c r="E6" s="5">
        <v>1.71</v>
      </c>
      <c r="F6" s="5">
        <v>37.42690058479533</v>
      </c>
      <c r="G6" s="6">
        <v>1998</v>
      </c>
    </row>
    <row r="7" spans="1:7" ht="12.75">
      <c r="A7" s="37" t="s">
        <v>562</v>
      </c>
      <c r="B7" s="14" t="s">
        <v>250</v>
      </c>
      <c r="C7" s="5">
        <v>1.01</v>
      </c>
      <c r="D7" s="5">
        <v>0.76</v>
      </c>
      <c r="E7" s="5">
        <v>1.77</v>
      </c>
      <c r="F7" s="5">
        <v>42.93785310734463</v>
      </c>
      <c r="G7" s="6">
        <v>2005</v>
      </c>
    </row>
    <row r="8" spans="1:7" s="37" customFormat="1" ht="12.75">
      <c r="A8" s="37" t="s">
        <v>562</v>
      </c>
      <c r="B8" s="14" t="s">
        <v>247</v>
      </c>
      <c r="C8" s="5">
        <v>0.7</v>
      </c>
      <c r="D8" s="5">
        <v>1.1</v>
      </c>
      <c r="E8" s="5">
        <v>1.8</v>
      </c>
      <c r="F8" s="5">
        <v>61.111111111111114</v>
      </c>
      <c r="G8" s="6">
        <v>2000</v>
      </c>
    </row>
    <row r="9" spans="1:7" s="37" customFormat="1" ht="12.75">
      <c r="A9" t="s">
        <v>559</v>
      </c>
      <c r="B9" s="14" t="s">
        <v>235</v>
      </c>
      <c r="C9" s="5">
        <v>1.4</v>
      </c>
      <c r="D9" s="5">
        <v>0.4</v>
      </c>
      <c r="E9" s="5">
        <v>1.8</v>
      </c>
      <c r="F9" s="5">
        <v>22.222222222222225</v>
      </c>
      <c r="G9" s="6">
        <v>2004</v>
      </c>
    </row>
    <row r="10" spans="1:7" s="37" customFormat="1" ht="12.75">
      <c r="A10" s="37" t="s">
        <v>561</v>
      </c>
      <c r="B10" s="14" t="s">
        <v>538</v>
      </c>
      <c r="C10" s="5">
        <v>0.9</v>
      </c>
      <c r="D10" s="5">
        <v>1</v>
      </c>
      <c r="E10" s="5">
        <v>1.9</v>
      </c>
      <c r="F10" s="5">
        <v>52.63157894736842</v>
      </c>
      <c r="G10" s="6">
        <v>1999</v>
      </c>
    </row>
    <row r="11" spans="1:7" s="37" customFormat="1" ht="12.75">
      <c r="A11" s="37" t="s">
        <v>560</v>
      </c>
      <c r="B11" s="14" t="s">
        <v>222</v>
      </c>
      <c r="C11" s="5">
        <v>1.8</v>
      </c>
      <c r="D11" s="5">
        <v>0.2</v>
      </c>
      <c r="E11" s="5">
        <v>1.9</v>
      </c>
      <c r="F11" s="5">
        <v>10.526315789473685</v>
      </c>
      <c r="G11" s="6">
        <v>1999</v>
      </c>
    </row>
    <row r="12" spans="1:7" s="37" customFormat="1" ht="12.75">
      <c r="A12" s="37" t="s">
        <v>563</v>
      </c>
      <c r="B12" s="14" t="s">
        <v>488</v>
      </c>
      <c r="C12" s="5" t="s">
        <v>193</v>
      </c>
      <c r="D12" s="5" t="s">
        <v>193</v>
      </c>
      <c r="E12" s="5">
        <v>1.9</v>
      </c>
      <c r="F12" s="5" t="s">
        <v>193</v>
      </c>
      <c r="G12" s="6">
        <v>1997</v>
      </c>
    </row>
    <row r="13" spans="1:7" s="37" customFormat="1" ht="12.75">
      <c r="A13" s="37" t="s">
        <v>559</v>
      </c>
      <c r="B13" s="14" t="s">
        <v>234</v>
      </c>
      <c r="C13" s="5">
        <v>1.3</v>
      </c>
      <c r="D13" s="5">
        <v>0.7</v>
      </c>
      <c r="E13" s="5">
        <v>2</v>
      </c>
      <c r="F13" s="5">
        <v>35</v>
      </c>
      <c r="G13" s="6">
        <v>2004</v>
      </c>
    </row>
    <row r="14" spans="1:7" ht="12.75">
      <c r="A14" s="37" t="s">
        <v>562</v>
      </c>
      <c r="B14" s="14" t="s">
        <v>248</v>
      </c>
      <c r="C14" s="5" t="s">
        <v>193</v>
      </c>
      <c r="D14" s="5" t="s">
        <v>193</v>
      </c>
      <c r="E14" s="5">
        <v>2</v>
      </c>
      <c r="F14" s="5" t="s">
        <v>193</v>
      </c>
      <c r="G14" s="6">
        <v>2000</v>
      </c>
    </row>
    <row r="15" spans="1:7" s="37" customFormat="1" ht="12.75">
      <c r="A15" s="37" t="s">
        <v>563</v>
      </c>
      <c r="B15" s="14" t="s">
        <v>459</v>
      </c>
      <c r="C15" s="5">
        <v>1.64</v>
      </c>
      <c r="D15" s="5">
        <v>0.43</v>
      </c>
      <c r="E15" s="5">
        <v>2.07</v>
      </c>
      <c r="F15" s="5">
        <v>20.77294685990338</v>
      </c>
      <c r="G15" s="6">
        <v>2006</v>
      </c>
    </row>
    <row r="16" spans="1:7" s="37" customFormat="1" ht="12.75">
      <c r="A16" t="s">
        <v>564</v>
      </c>
      <c r="B16" s="70" t="s">
        <v>194</v>
      </c>
      <c r="C16" s="5">
        <v>1.2</v>
      </c>
      <c r="D16" s="5">
        <v>0.9</v>
      </c>
      <c r="E16" s="5">
        <v>2.1</v>
      </c>
      <c r="F16" s="5">
        <v>42.857142857142854</v>
      </c>
      <c r="G16" s="6">
        <v>2002</v>
      </c>
    </row>
    <row r="17" spans="1:7" s="37" customFormat="1" ht="12.75">
      <c r="A17" s="37" t="s">
        <v>562</v>
      </c>
      <c r="B17" s="14" t="s">
        <v>128</v>
      </c>
      <c r="C17" s="5">
        <v>1.84</v>
      </c>
      <c r="D17" s="5">
        <v>0.4</v>
      </c>
      <c r="E17" s="5">
        <v>2.24</v>
      </c>
      <c r="F17" s="5">
        <v>17.857142857142858</v>
      </c>
      <c r="G17" s="6">
        <v>2000</v>
      </c>
    </row>
    <row r="18" spans="1:13" ht="12.75">
      <c r="A18" s="37" t="s">
        <v>562</v>
      </c>
      <c r="B18" s="14" t="s">
        <v>244</v>
      </c>
      <c r="C18" s="5">
        <v>0.7</v>
      </c>
      <c r="D18" s="5">
        <v>1.7</v>
      </c>
      <c r="E18" s="5">
        <v>2.4</v>
      </c>
      <c r="F18" s="5">
        <v>70.83333333333334</v>
      </c>
      <c r="G18" s="6">
        <v>2004</v>
      </c>
      <c r="H18" s="69"/>
      <c r="I18" s="67"/>
      <c r="J18" s="67"/>
      <c r="K18" s="67"/>
      <c r="L18" s="67"/>
      <c r="M18" s="67"/>
    </row>
    <row r="19" spans="1:7" ht="12.75">
      <c r="A19" t="s">
        <v>562</v>
      </c>
      <c r="B19" s="14" t="s">
        <v>255</v>
      </c>
      <c r="C19" s="5">
        <v>0.6</v>
      </c>
      <c r="D19" s="5">
        <v>2</v>
      </c>
      <c r="E19" s="5">
        <v>2.6</v>
      </c>
      <c r="F19" s="5">
        <v>76.92307692307692</v>
      </c>
      <c r="G19" s="6">
        <v>2000</v>
      </c>
    </row>
    <row r="20" spans="1:7" s="37" customFormat="1" ht="12.75">
      <c r="A20" t="s">
        <v>563</v>
      </c>
      <c r="B20" s="70" t="s">
        <v>232</v>
      </c>
      <c r="C20" s="5">
        <v>1.5</v>
      </c>
      <c r="D20" s="5">
        <v>1.1</v>
      </c>
      <c r="E20" s="5">
        <v>2.6</v>
      </c>
      <c r="F20" s="5">
        <v>42.30769230769231</v>
      </c>
      <c r="G20" s="6">
        <v>1998</v>
      </c>
    </row>
    <row r="21" spans="1:7" s="37" customFormat="1" ht="12.75">
      <c r="A21" t="s">
        <v>564</v>
      </c>
      <c r="B21" s="14" t="s">
        <v>373</v>
      </c>
      <c r="C21" s="5" t="s">
        <v>193</v>
      </c>
      <c r="D21" s="5" t="s">
        <v>193</v>
      </c>
      <c r="E21" s="5">
        <v>2.7</v>
      </c>
      <c r="F21" s="5" t="s">
        <v>193</v>
      </c>
      <c r="G21" s="6">
        <v>1996</v>
      </c>
    </row>
    <row r="22" spans="1:7" s="37" customFormat="1" ht="12.75">
      <c r="A22" s="37" t="s">
        <v>562</v>
      </c>
      <c r="B22" s="14" t="s">
        <v>245</v>
      </c>
      <c r="C22" s="5">
        <v>1.8</v>
      </c>
      <c r="D22" s="5">
        <v>1.1</v>
      </c>
      <c r="E22" s="5">
        <v>2.9</v>
      </c>
      <c r="F22" s="5">
        <v>37.931034482758626</v>
      </c>
      <c r="G22" s="6">
        <v>2004</v>
      </c>
    </row>
    <row r="23" spans="1:7" s="37" customFormat="1" ht="12.75">
      <c r="A23" s="37" t="s">
        <v>561</v>
      </c>
      <c r="B23" s="14" t="s">
        <v>105</v>
      </c>
      <c r="C23" s="5">
        <v>2.5</v>
      </c>
      <c r="D23" s="5">
        <v>0.4</v>
      </c>
      <c r="E23" s="5">
        <v>2.9</v>
      </c>
      <c r="F23" s="5">
        <v>13.793103448275861</v>
      </c>
      <c r="G23" s="6">
        <v>2004</v>
      </c>
    </row>
    <row r="24" spans="1:7" s="37" customFormat="1" ht="12.75">
      <c r="A24" t="s">
        <v>559</v>
      </c>
      <c r="B24" s="14" t="s">
        <v>236</v>
      </c>
      <c r="C24" s="5">
        <v>2</v>
      </c>
      <c r="D24" s="5">
        <v>1</v>
      </c>
      <c r="E24" s="5">
        <v>3</v>
      </c>
      <c r="F24" s="5">
        <v>33.33333333333333</v>
      </c>
      <c r="G24" s="6">
        <v>2004</v>
      </c>
    </row>
    <row r="25" spans="1:7" s="37" customFormat="1" ht="12.75">
      <c r="A25" t="s">
        <v>562</v>
      </c>
      <c r="B25" s="14" t="s">
        <v>246</v>
      </c>
      <c r="C25" s="5">
        <v>1.8</v>
      </c>
      <c r="D25" s="5">
        <v>1.6</v>
      </c>
      <c r="E25" s="5">
        <v>3.4</v>
      </c>
      <c r="F25" s="5">
        <v>47.05882352941177</v>
      </c>
      <c r="G25" s="6">
        <v>2001</v>
      </c>
    </row>
    <row r="26" spans="1:7" s="37" customFormat="1" ht="12.75">
      <c r="A26" t="s">
        <v>562</v>
      </c>
      <c r="B26" s="14" t="s">
        <v>251</v>
      </c>
      <c r="C26" s="5">
        <v>2.6</v>
      </c>
      <c r="D26" s="5">
        <v>1</v>
      </c>
      <c r="E26" s="5">
        <v>3.5</v>
      </c>
      <c r="F26" s="5">
        <v>28.57142857142857</v>
      </c>
      <c r="G26" s="6">
        <v>2002</v>
      </c>
    </row>
    <row r="27" spans="1:7" s="37" customFormat="1" ht="12.75">
      <c r="A27" s="37" t="s">
        <v>562</v>
      </c>
      <c r="B27" s="14" t="s">
        <v>524</v>
      </c>
      <c r="C27" s="5">
        <v>1.2816</v>
      </c>
      <c r="D27" s="5">
        <v>2.3184</v>
      </c>
      <c r="E27" s="5">
        <v>3.6</v>
      </c>
      <c r="F27" s="5">
        <v>64.4</v>
      </c>
      <c r="G27" s="6">
        <v>2002</v>
      </c>
    </row>
    <row r="28" spans="1:7" s="37" customFormat="1" ht="12.75">
      <c r="A28" t="s">
        <v>562</v>
      </c>
      <c r="B28" s="14" t="s">
        <v>256</v>
      </c>
      <c r="C28" s="5">
        <v>2.7</v>
      </c>
      <c r="D28" s="5">
        <v>1</v>
      </c>
      <c r="E28" s="5">
        <v>3.7</v>
      </c>
      <c r="F28" s="5">
        <v>27.027027027027025</v>
      </c>
      <c r="G28" s="6">
        <v>2000</v>
      </c>
    </row>
    <row r="29" spans="1:7" ht="12.75">
      <c r="A29" s="37" t="s">
        <v>561</v>
      </c>
      <c r="B29" s="40" t="s">
        <v>480</v>
      </c>
      <c r="C29" s="5">
        <v>1.12</v>
      </c>
      <c r="D29" s="5">
        <v>2.7</v>
      </c>
      <c r="E29" s="5">
        <v>3.82</v>
      </c>
      <c r="F29" s="5">
        <v>70.68062827225131</v>
      </c>
      <c r="G29" s="6">
        <v>2000</v>
      </c>
    </row>
    <row r="30" spans="1:7" s="37" customFormat="1" ht="12.75">
      <c r="A30" s="37" t="s">
        <v>562</v>
      </c>
      <c r="B30" s="14" t="s">
        <v>254</v>
      </c>
      <c r="C30" s="5">
        <v>3.18</v>
      </c>
      <c r="D30" s="5">
        <v>0.71</v>
      </c>
      <c r="E30" s="5">
        <v>3.89</v>
      </c>
      <c r="F30" s="5">
        <v>18.25192802056555</v>
      </c>
      <c r="G30" s="6">
        <v>2005</v>
      </c>
    </row>
    <row r="31" spans="1:7" ht="12.75">
      <c r="A31" s="37" t="s">
        <v>562</v>
      </c>
      <c r="B31" s="14" t="s">
        <v>249</v>
      </c>
      <c r="C31" s="5">
        <v>1.6</v>
      </c>
      <c r="D31" s="5">
        <v>2.5</v>
      </c>
      <c r="E31" s="5">
        <v>4.1</v>
      </c>
      <c r="F31" s="5">
        <v>60.97560975609757</v>
      </c>
      <c r="G31" s="6">
        <v>1999</v>
      </c>
    </row>
    <row r="32" spans="1:7" s="37" customFormat="1" ht="12.75">
      <c r="A32" s="37" t="s">
        <v>560</v>
      </c>
      <c r="B32" s="14" t="s">
        <v>211</v>
      </c>
      <c r="C32" s="5">
        <v>2.7</v>
      </c>
      <c r="D32" s="5">
        <v>1.5</v>
      </c>
      <c r="E32" s="5">
        <v>4.2</v>
      </c>
      <c r="F32" s="5">
        <v>35.714285714285715</v>
      </c>
      <c r="G32" s="6">
        <v>2000</v>
      </c>
    </row>
    <row r="33" spans="1:7" s="37" customFormat="1" ht="12.75">
      <c r="A33" t="s">
        <v>559</v>
      </c>
      <c r="B33" s="14" t="s">
        <v>109</v>
      </c>
      <c r="C33" s="5">
        <v>2.1</v>
      </c>
      <c r="D33" s="5">
        <v>2.2</v>
      </c>
      <c r="E33" s="5">
        <v>4.3</v>
      </c>
      <c r="F33" s="5">
        <v>51.16279069767441</v>
      </c>
      <c r="G33" s="6">
        <v>2004</v>
      </c>
    </row>
    <row r="34" spans="1:7" s="37" customFormat="1" ht="12.75">
      <c r="A34" t="s">
        <v>561</v>
      </c>
      <c r="B34" s="14" t="s">
        <v>468</v>
      </c>
      <c r="C34" s="5">
        <v>2.7</v>
      </c>
      <c r="D34" s="5">
        <v>1.61</v>
      </c>
      <c r="E34" s="5">
        <v>4.31</v>
      </c>
      <c r="F34" s="5">
        <v>37.35498839907193</v>
      </c>
      <c r="G34" s="6">
        <v>2000</v>
      </c>
    </row>
    <row r="35" spans="1:7" s="37" customFormat="1" ht="12.75">
      <c r="A35" s="44" t="s">
        <v>561</v>
      </c>
      <c r="B35" s="14" t="s">
        <v>201</v>
      </c>
      <c r="C35" s="5">
        <v>2.77</v>
      </c>
      <c r="D35" s="5">
        <v>1.9</v>
      </c>
      <c r="E35" s="5">
        <v>4.67</v>
      </c>
      <c r="F35" s="5">
        <v>40.685224839400426</v>
      </c>
      <c r="G35" s="6">
        <v>1998</v>
      </c>
    </row>
    <row r="36" spans="1:7" s="37" customFormat="1" ht="12.75">
      <c r="A36" s="37" t="s">
        <v>560</v>
      </c>
      <c r="B36" s="14" t="s">
        <v>204</v>
      </c>
      <c r="C36" s="5">
        <v>3</v>
      </c>
      <c r="D36" s="5">
        <v>2.1</v>
      </c>
      <c r="E36" s="5">
        <v>5.11</v>
      </c>
      <c r="F36" s="5">
        <v>41.0958904109589</v>
      </c>
      <c r="G36" s="6">
        <v>2002</v>
      </c>
    </row>
    <row r="37" spans="1:7" s="37" customFormat="1" ht="12.75">
      <c r="A37" s="37" t="s">
        <v>562</v>
      </c>
      <c r="B37" s="14" t="s">
        <v>127</v>
      </c>
      <c r="C37" s="5">
        <v>4.2</v>
      </c>
      <c r="D37" s="5">
        <v>1</v>
      </c>
      <c r="E37" s="5">
        <v>5.2</v>
      </c>
      <c r="F37" s="5">
        <v>19.23076923076923</v>
      </c>
      <c r="G37" s="6">
        <v>2000</v>
      </c>
    </row>
    <row r="38" spans="1:7" ht="12.75">
      <c r="A38" t="s">
        <v>560</v>
      </c>
      <c r="B38" s="70" t="s">
        <v>205</v>
      </c>
      <c r="C38" s="5">
        <v>3.7</v>
      </c>
      <c r="D38" s="5">
        <v>1.6</v>
      </c>
      <c r="E38" s="5">
        <v>5.3</v>
      </c>
      <c r="F38" s="5">
        <v>30.188679245283023</v>
      </c>
      <c r="G38" s="6">
        <v>2001</v>
      </c>
    </row>
    <row r="39" spans="1:7" s="37" customFormat="1" ht="12.75">
      <c r="A39" s="37" t="s">
        <v>561</v>
      </c>
      <c r="B39" s="14" t="s">
        <v>199</v>
      </c>
      <c r="C39" s="5">
        <v>4</v>
      </c>
      <c r="D39" s="5">
        <v>1.31</v>
      </c>
      <c r="E39" s="5">
        <v>5.31</v>
      </c>
      <c r="F39" s="5">
        <v>24.670433145009415</v>
      </c>
      <c r="G39" s="6">
        <v>2002</v>
      </c>
    </row>
    <row r="40" spans="1:7" s="37" customFormat="1" ht="12.75">
      <c r="A40" s="37" t="s">
        <v>560</v>
      </c>
      <c r="B40" s="14" t="s">
        <v>213</v>
      </c>
      <c r="C40" s="5">
        <v>3.2</v>
      </c>
      <c r="D40" s="5">
        <v>2.2</v>
      </c>
      <c r="E40" s="5">
        <v>5.4</v>
      </c>
      <c r="F40" s="5">
        <v>40.74074074074075</v>
      </c>
      <c r="G40" s="6">
        <v>2002</v>
      </c>
    </row>
    <row r="41" spans="1:7" s="37" customFormat="1" ht="12.75">
      <c r="A41" t="s">
        <v>562</v>
      </c>
      <c r="B41" s="70" t="s">
        <v>243</v>
      </c>
      <c r="C41" s="5">
        <v>3.41</v>
      </c>
      <c r="D41" s="5">
        <v>2.15</v>
      </c>
      <c r="E41" s="5">
        <v>5.56</v>
      </c>
      <c r="F41" s="5">
        <v>38.66906474820144</v>
      </c>
      <c r="G41" s="6">
        <v>2000</v>
      </c>
    </row>
    <row r="42" spans="1:7" ht="12.75">
      <c r="A42" s="37" t="s">
        <v>561</v>
      </c>
      <c r="B42" s="14" t="s">
        <v>195</v>
      </c>
      <c r="C42" s="5" t="s">
        <v>193</v>
      </c>
      <c r="D42" s="5" t="s">
        <v>193</v>
      </c>
      <c r="E42" s="5">
        <v>5.7</v>
      </c>
      <c r="F42" s="5" t="s">
        <v>193</v>
      </c>
      <c r="G42" s="6">
        <v>2001</v>
      </c>
    </row>
    <row r="43" spans="1:7" s="37" customFormat="1" ht="12.75">
      <c r="A43" s="37" t="s">
        <v>560</v>
      </c>
      <c r="B43" s="14" t="s">
        <v>214</v>
      </c>
      <c r="C43" s="5">
        <v>3.3</v>
      </c>
      <c r="D43" s="5">
        <v>2.5</v>
      </c>
      <c r="E43" s="5">
        <v>5.8</v>
      </c>
      <c r="F43" s="5">
        <v>43.10344827586207</v>
      </c>
      <c r="G43" s="6">
        <v>2003</v>
      </c>
    </row>
    <row r="44" spans="1:7" s="37" customFormat="1" ht="12.75">
      <c r="A44" s="37" t="s">
        <v>562</v>
      </c>
      <c r="B44" s="14" t="s">
        <v>242</v>
      </c>
      <c r="C44" s="5">
        <v>4.3</v>
      </c>
      <c r="D44" s="5">
        <v>1.5</v>
      </c>
      <c r="E44" s="5">
        <v>5.8</v>
      </c>
      <c r="F44" s="5">
        <v>25.862068965517242</v>
      </c>
      <c r="G44" s="6">
        <v>2004</v>
      </c>
    </row>
    <row r="45" spans="1:7" s="37" customFormat="1" ht="12.75">
      <c r="A45" s="37" t="s">
        <v>560</v>
      </c>
      <c r="B45" s="14" t="s">
        <v>215</v>
      </c>
      <c r="C45" s="5">
        <v>5.1</v>
      </c>
      <c r="D45" s="5">
        <v>0.7</v>
      </c>
      <c r="E45" s="5">
        <v>5.8</v>
      </c>
      <c r="F45" s="5">
        <v>12.068965517241379</v>
      </c>
      <c r="G45" s="6">
        <v>2001</v>
      </c>
    </row>
    <row r="46" spans="1:7" s="37" customFormat="1" ht="12.75">
      <c r="A46" t="s">
        <v>564</v>
      </c>
      <c r="B46" s="70" t="s">
        <v>192</v>
      </c>
      <c r="C46" s="5">
        <v>1.66</v>
      </c>
      <c r="D46" s="5">
        <v>4.4</v>
      </c>
      <c r="E46" s="5">
        <v>6.1</v>
      </c>
      <c r="F46" s="5">
        <v>72.13114754098362</v>
      </c>
      <c r="G46" s="6">
        <v>1999</v>
      </c>
    </row>
    <row r="47" spans="1:7" s="37" customFormat="1" ht="12.75">
      <c r="A47" t="s">
        <v>562</v>
      </c>
      <c r="B47" s="14" t="s">
        <v>252</v>
      </c>
      <c r="C47" s="5">
        <v>5.4</v>
      </c>
      <c r="D47" s="5">
        <v>1.1</v>
      </c>
      <c r="E47" s="5">
        <v>6.5</v>
      </c>
      <c r="F47" s="5">
        <v>16.923076923076923</v>
      </c>
      <c r="G47" s="6">
        <v>2000</v>
      </c>
    </row>
    <row r="48" spans="1:7" s="37" customFormat="1" ht="12.75">
      <c r="A48" s="37" t="s">
        <v>562</v>
      </c>
      <c r="B48" s="40" t="s">
        <v>241</v>
      </c>
      <c r="C48" s="5">
        <v>5.9</v>
      </c>
      <c r="D48" s="5">
        <v>0.6</v>
      </c>
      <c r="E48" s="5">
        <v>6.5</v>
      </c>
      <c r="F48" s="5">
        <v>9.23076923076923</v>
      </c>
      <c r="G48" s="6">
        <v>2004</v>
      </c>
    </row>
    <row r="49" spans="1:7" s="37" customFormat="1" ht="12.75">
      <c r="A49" s="37" t="s">
        <v>561</v>
      </c>
      <c r="B49" s="14" t="s">
        <v>202</v>
      </c>
      <c r="C49" s="5">
        <v>4.2</v>
      </c>
      <c r="D49" s="5">
        <v>2.32</v>
      </c>
      <c r="E49" s="5">
        <v>6.52</v>
      </c>
      <c r="F49" s="5">
        <v>35.58282208588957</v>
      </c>
      <c r="G49" s="6">
        <v>2000</v>
      </c>
    </row>
    <row r="50" spans="1:7" s="37" customFormat="1" ht="12.75">
      <c r="A50" t="s">
        <v>562</v>
      </c>
      <c r="B50" s="70" t="s">
        <v>253</v>
      </c>
      <c r="C50" s="5">
        <v>5</v>
      </c>
      <c r="D50" s="5">
        <v>1.7</v>
      </c>
      <c r="E50" s="5">
        <v>6.7</v>
      </c>
      <c r="F50" s="5">
        <v>25.37313432835821</v>
      </c>
      <c r="G50" s="6">
        <v>2005</v>
      </c>
    </row>
    <row r="51" spans="1:7" s="37" customFormat="1" ht="12.75">
      <c r="A51" s="37" t="s">
        <v>560</v>
      </c>
      <c r="B51" s="14" t="s">
        <v>203</v>
      </c>
      <c r="C51" s="5">
        <v>5.5</v>
      </c>
      <c r="D51" s="5">
        <v>1.2</v>
      </c>
      <c r="E51" s="5">
        <v>6.7</v>
      </c>
      <c r="F51" s="5">
        <v>17.91044776119403</v>
      </c>
      <c r="G51" s="6">
        <v>2005</v>
      </c>
    </row>
    <row r="52" spans="1:7" s="37" customFormat="1" ht="12.75">
      <c r="A52" t="s">
        <v>563</v>
      </c>
      <c r="B52" s="70" t="s">
        <v>229</v>
      </c>
      <c r="C52" s="5">
        <v>5.9495</v>
      </c>
      <c r="D52" s="5">
        <v>1.3505000000000003</v>
      </c>
      <c r="E52" s="5">
        <v>7.3</v>
      </c>
      <c r="F52" s="5">
        <v>18.5</v>
      </c>
      <c r="G52" s="6">
        <v>2000</v>
      </c>
    </row>
    <row r="53" spans="1:7" s="37" customFormat="1" ht="12.75">
      <c r="A53" s="37" t="s">
        <v>562</v>
      </c>
      <c r="B53" s="14" t="s">
        <v>240</v>
      </c>
      <c r="C53" s="5">
        <v>6.9</v>
      </c>
      <c r="D53" s="5">
        <v>0.7</v>
      </c>
      <c r="E53" s="5">
        <v>7.6</v>
      </c>
      <c r="F53" s="5">
        <v>9.210526315789473</v>
      </c>
      <c r="G53" s="6">
        <v>2003</v>
      </c>
    </row>
    <row r="54" spans="1:7" s="37" customFormat="1" ht="12.75">
      <c r="A54" s="37" t="s">
        <v>562</v>
      </c>
      <c r="B54" s="14" t="s">
        <v>238</v>
      </c>
      <c r="C54" s="5">
        <v>6.3</v>
      </c>
      <c r="D54" s="5">
        <v>2</v>
      </c>
      <c r="E54" s="5">
        <v>8.3</v>
      </c>
      <c r="F54" s="5">
        <v>24.096385542168672</v>
      </c>
      <c r="G54" s="6">
        <v>2002</v>
      </c>
    </row>
    <row r="55" spans="1:7" s="37" customFormat="1" ht="12.75">
      <c r="A55" t="s">
        <v>561</v>
      </c>
      <c r="B55" s="70" t="s">
        <v>196</v>
      </c>
      <c r="C55" s="5">
        <v>5</v>
      </c>
      <c r="D55" s="5">
        <v>3.7</v>
      </c>
      <c r="E55" s="5">
        <v>8.7</v>
      </c>
      <c r="F55" s="5">
        <v>42.52873563218391</v>
      </c>
      <c r="G55" s="6">
        <v>2000</v>
      </c>
    </row>
    <row r="56" spans="1:7" s="37" customFormat="1" ht="12.75">
      <c r="A56" s="37" t="s">
        <v>560</v>
      </c>
      <c r="B56" s="14" t="s">
        <v>225</v>
      </c>
      <c r="C56" s="5">
        <v>7</v>
      </c>
      <c r="D56" s="5">
        <v>2</v>
      </c>
      <c r="E56" s="5">
        <v>9</v>
      </c>
      <c r="F56" s="5">
        <v>22.22222222222222</v>
      </c>
      <c r="G56" s="6">
        <v>2000</v>
      </c>
    </row>
    <row r="57" spans="1:7" s="37" customFormat="1" ht="12.75">
      <c r="A57" s="37" t="s">
        <v>560</v>
      </c>
      <c r="B57" s="14" t="s">
        <v>220</v>
      </c>
      <c r="C57" s="5">
        <v>7.2</v>
      </c>
      <c r="D57" s="5">
        <v>1.8</v>
      </c>
      <c r="E57" s="5">
        <v>9</v>
      </c>
      <c r="F57" s="5">
        <v>20</v>
      </c>
      <c r="G57" s="6">
        <v>2006</v>
      </c>
    </row>
    <row r="58" spans="1:7" s="44" customFormat="1" ht="12.75">
      <c r="A58" t="s">
        <v>562</v>
      </c>
      <c r="B58" s="70" t="s">
        <v>237</v>
      </c>
      <c r="C58" s="5">
        <v>7.7</v>
      </c>
      <c r="D58" s="5">
        <v>1.5</v>
      </c>
      <c r="E58" s="5">
        <v>9.2</v>
      </c>
      <c r="F58" s="5">
        <v>16.304347826086957</v>
      </c>
      <c r="G58" s="6">
        <v>2004</v>
      </c>
    </row>
    <row r="59" spans="1:7" s="37" customFormat="1" ht="12.75">
      <c r="A59" t="s">
        <v>560</v>
      </c>
      <c r="B59" s="70" t="s">
        <v>217</v>
      </c>
      <c r="C59" s="5">
        <v>7.5342</v>
      </c>
      <c r="D59" s="5">
        <v>1.7</v>
      </c>
      <c r="E59" s="5">
        <v>9.2342</v>
      </c>
      <c r="F59" s="5">
        <v>18.4098243486171</v>
      </c>
      <c r="G59" s="6">
        <v>2005</v>
      </c>
    </row>
    <row r="60" spans="1:7" s="37" customFormat="1" ht="12.75">
      <c r="A60" s="37" t="s">
        <v>560</v>
      </c>
      <c r="B60" s="14" t="s">
        <v>223</v>
      </c>
      <c r="C60" s="5">
        <v>7.2</v>
      </c>
      <c r="D60" s="5">
        <v>2.1</v>
      </c>
      <c r="E60" s="5">
        <v>9.3</v>
      </c>
      <c r="F60" s="5">
        <v>22.580645161290327</v>
      </c>
      <c r="G60" s="6">
        <v>2004</v>
      </c>
    </row>
    <row r="61" spans="1:7" s="37" customFormat="1" ht="12.75">
      <c r="A61" t="s">
        <v>564</v>
      </c>
      <c r="B61" s="70" t="s">
        <v>179</v>
      </c>
      <c r="C61" s="5">
        <v>4.2</v>
      </c>
      <c r="D61" s="5">
        <v>5.3</v>
      </c>
      <c r="E61" s="5">
        <v>9.5</v>
      </c>
      <c r="F61" s="5">
        <v>55.78947368421052</v>
      </c>
      <c r="G61" s="6">
        <v>2001</v>
      </c>
    </row>
    <row r="62" spans="1:7" s="37" customFormat="1" ht="12.75">
      <c r="A62" s="37" t="s">
        <v>561</v>
      </c>
      <c r="B62" s="14" t="s">
        <v>198</v>
      </c>
      <c r="C62" s="5">
        <v>5.1</v>
      </c>
      <c r="D62" s="5">
        <v>4.9</v>
      </c>
      <c r="E62" s="5">
        <v>10</v>
      </c>
      <c r="F62" s="5">
        <v>49</v>
      </c>
      <c r="G62" s="6">
        <v>2003</v>
      </c>
    </row>
    <row r="63" spans="1:7" s="37" customFormat="1" ht="12.75">
      <c r="A63" s="37" t="s">
        <v>560</v>
      </c>
      <c r="B63" s="14" t="s">
        <v>219</v>
      </c>
      <c r="C63" s="5">
        <v>8.9</v>
      </c>
      <c r="D63" s="5">
        <v>1.1</v>
      </c>
      <c r="E63" s="5">
        <v>10</v>
      </c>
      <c r="F63" s="5">
        <v>11</v>
      </c>
      <c r="G63" s="6">
        <v>2002</v>
      </c>
    </row>
    <row r="64" spans="1:7" s="37" customFormat="1" ht="12.75">
      <c r="A64" s="37" t="s">
        <v>562</v>
      </c>
      <c r="B64" s="14" t="s">
        <v>257</v>
      </c>
      <c r="C64" s="5">
        <v>9.6</v>
      </c>
      <c r="D64" s="5">
        <v>0.5</v>
      </c>
      <c r="E64" s="5">
        <v>10.1</v>
      </c>
      <c r="F64" s="5">
        <v>4.9504950495049505</v>
      </c>
      <c r="G64" s="6">
        <v>2005</v>
      </c>
    </row>
    <row r="65" spans="1:7" s="37" customFormat="1" ht="12.75">
      <c r="A65" s="37" t="s">
        <v>560</v>
      </c>
      <c r="B65" s="14" t="s">
        <v>208</v>
      </c>
      <c r="C65" s="5">
        <v>9.5</v>
      </c>
      <c r="D65" s="5">
        <v>1.2</v>
      </c>
      <c r="E65" s="5">
        <v>10.7</v>
      </c>
      <c r="F65" s="5">
        <v>11.214953271028037</v>
      </c>
      <c r="G65" s="6">
        <v>2004</v>
      </c>
    </row>
    <row r="66" spans="1:7" s="37" customFormat="1" ht="12.75">
      <c r="A66" s="37" t="s">
        <v>560</v>
      </c>
      <c r="B66" s="14" t="s">
        <v>216</v>
      </c>
      <c r="C66" s="5">
        <v>9.935</v>
      </c>
      <c r="D66" s="5">
        <v>1.345</v>
      </c>
      <c r="E66" s="5">
        <v>11.285</v>
      </c>
      <c r="F66" s="5">
        <v>11.918475852902082</v>
      </c>
      <c r="G66" s="6">
        <v>2001</v>
      </c>
    </row>
    <row r="67" spans="1:7" s="37" customFormat="1" ht="12.75">
      <c r="A67" s="37" t="s">
        <v>560</v>
      </c>
      <c r="B67" s="14" t="s">
        <v>494</v>
      </c>
      <c r="C67" s="5">
        <v>10.6</v>
      </c>
      <c r="D67" s="5">
        <v>1.4</v>
      </c>
      <c r="E67" s="5">
        <v>12</v>
      </c>
      <c r="F67" s="5">
        <v>11.666666666666666</v>
      </c>
      <c r="G67" s="6">
        <v>2000</v>
      </c>
    </row>
    <row r="68" spans="1:7" s="37" customFormat="1" ht="12.75">
      <c r="A68" s="37" t="s">
        <v>560</v>
      </c>
      <c r="B68" s="14" t="s">
        <v>224</v>
      </c>
      <c r="C68" s="5">
        <v>9.8</v>
      </c>
      <c r="D68" s="5">
        <v>3.2</v>
      </c>
      <c r="E68" s="5">
        <v>13</v>
      </c>
      <c r="F68" s="5">
        <v>24.615384615384617</v>
      </c>
      <c r="G68" s="6">
        <v>2000</v>
      </c>
    </row>
    <row r="69" spans="1:7" s="37" customFormat="1" ht="12.75">
      <c r="A69" s="37" t="s">
        <v>560</v>
      </c>
      <c r="B69" s="40" t="s">
        <v>221</v>
      </c>
      <c r="C69" s="5">
        <v>9.4</v>
      </c>
      <c r="D69" s="5">
        <v>3.7</v>
      </c>
      <c r="E69" s="5">
        <v>13.1</v>
      </c>
      <c r="F69" s="5">
        <v>28.24427480916031</v>
      </c>
      <c r="G69" s="6">
        <v>2002</v>
      </c>
    </row>
    <row r="70" spans="1:7" ht="12.75">
      <c r="A70" t="s">
        <v>562</v>
      </c>
      <c r="B70" s="70" t="s">
        <v>239</v>
      </c>
      <c r="C70" s="5">
        <v>11.7</v>
      </c>
      <c r="D70" s="5">
        <v>1.4</v>
      </c>
      <c r="E70" s="5">
        <v>13.1</v>
      </c>
      <c r="F70" s="5">
        <v>10.687022900763358</v>
      </c>
      <c r="G70" s="6">
        <v>2004</v>
      </c>
    </row>
    <row r="71" spans="1:7" s="37" customFormat="1" ht="12.75">
      <c r="A71" t="s">
        <v>560</v>
      </c>
      <c r="B71" s="70" t="s">
        <v>210</v>
      </c>
      <c r="C71" s="5">
        <v>11.4</v>
      </c>
      <c r="D71" s="5">
        <v>2.4</v>
      </c>
      <c r="E71" s="5">
        <v>13.8</v>
      </c>
      <c r="F71" s="5">
        <v>17.391304347826086</v>
      </c>
      <c r="G71" s="6">
        <v>2000</v>
      </c>
    </row>
    <row r="72" spans="1:7" ht="12.75">
      <c r="A72" s="37" t="s">
        <v>560</v>
      </c>
      <c r="B72" s="14" t="s">
        <v>276</v>
      </c>
      <c r="C72" s="5">
        <v>12.6</v>
      </c>
      <c r="D72" s="5">
        <v>1.4</v>
      </c>
      <c r="E72" s="5">
        <v>14</v>
      </c>
      <c r="F72" s="5">
        <v>10</v>
      </c>
      <c r="G72" s="6">
        <v>2005</v>
      </c>
    </row>
    <row r="73" spans="1:7" s="37" customFormat="1" ht="12.75">
      <c r="A73" s="37" t="s">
        <v>560</v>
      </c>
      <c r="B73" s="14" t="s">
        <v>209</v>
      </c>
      <c r="C73" s="5">
        <v>12.4</v>
      </c>
      <c r="D73" s="5">
        <v>1.8</v>
      </c>
      <c r="E73" s="5">
        <v>14.2</v>
      </c>
      <c r="F73" s="5">
        <v>12.676056338028168</v>
      </c>
      <c r="G73" s="6">
        <v>2000</v>
      </c>
    </row>
    <row r="74" spans="1:7" ht="12.75">
      <c r="A74" t="s">
        <v>560</v>
      </c>
      <c r="B74" s="70" t="s">
        <v>206</v>
      </c>
      <c r="C74" s="5" t="s">
        <v>193</v>
      </c>
      <c r="D74" s="5" t="s">
        <v>193</v>
      </c>
      <c r="E74" s="5">
        <v>14.4</v>
      </c>
      <c r="F74" s="5" t="s">
        <v>193</v>
      </c>
      <c r="G74" s="6">
        <v>2001</v>
      </c>
    </row>
    <row r="75" spans="1:7" s="37" customFormat="1" ht="12.75">
      <c r="A75" t="s">
        <v>560</v>
      </c>
      <c r="B75" s="14" t="s">
        <v>207</v>
      </c>
      <c r="C75" s="5">
        <v>8.9</v>
      </c>
      <c r="D75" s="5">
        <v>6.9</v>
      </c>
      <c r="E75" s="5">
        <v>15.8</v>
      </c>
      <c r="F75" s="5">
        <v>43.67088607594937</v>
      </c>
      <c r="G75" s="6">
        <v>2000</v>
      </c>
    </row>
    <row r="76" spans="1:8" s="37" customFormat="1" ht="12.75">
      <c r="A76" s="37" t="s">
        <v>560</v>
      </c>
      <c r="B76" s="14" t="s">
        <v>218</v>
      </c>
      <c r="C76" s="5">
        <v>16.34</v>
      </c>
      <c r="D76" s="5">
        <v>1.06</v>
      </c>
      <c r="E76" s="5">
        <v>17.4</v>
      </c>
      <c r="F76" s="5">
        <v>6.0919540229885065</v>
      </c>
      <c r="G76" s="6">
        <v>2000</v>
      </c>
      <c r="H76" s="68"/>
    </row>
    <row r="77" spans="1:7" s="37" customFormat="1" ht="12.75">
      <c r="A77" s="37" t="s">
        <v>560</v>
      </c>
      <c r="B77" s="14" t="s">
        <v>275</v>
      </c>
      <c r="C77" s="5">
        <v>16</v>
      </c>
      <c r="D77" s="5">
        <v>2</v>
      </c>
      <c r="E77" s="5">
        <v>18</v>
      </c>
      <c r="F77" s="5">
        <v>11.11111111111111</v>
      </c>
      <c r="G77" s="6">
        <v>2002</v>
      </c>
    </row>
    <row r="78" spans="1:7" s="37" customFormat="1" ht="12.75">
      <c r="A78" t="s">
        <v>561</v>
      </c>
      <c r="B78" s="14" t="s">
        <v>98</v>
      </c>
      <c r="C78" s="5">
        <v>3.16</v>
      </c>
      <c r="D78" s="5">
        <v>15.94</v>
      </c>
      <c r="E78" s="5">
        <v>19.1</v>
      </c>
      <c r="F78" s="5">
        <v>83.45549738219894</v>
      </c>
      <c r="G78" s="6">
        <v>2004</v>
      </c>
    </row>
    <row r="79" spans="1:7" s="37" customFormat="1" ht="12.75">
      <c r="A79" s="37" t="s">
        <v>564</v>
      </c>
      <c r="B79" s="14" t="s">
        <v>136</v>
      </c>
      <c r="C79" s="5">
        <v>0.1</v>
      </c>
      <c r="D79" s="5" t="s">
        <v>193</v>
      </c>
      <c r="E79" s="5" t="s">
        <v>193</v>
      </c>
      <c r="F79" s="5" t="s">
        <v>193</v>
      </c>
      <c r="G79" s="6">
        <v>2002</v>
      </c>
    </row>
    <row r="80" spans="1:7" s="37" customFormat="1" ht="12.75">
      <c r="A80" s="37" t="s">
        <v>561</v>
      </c>
      <c r="B80" s="14" t="s">
        <v>526</v>
      </c>
      <c r="C80" s="5">
        <v>0.6</v>
      </c>
      <c r="D80" s="5" t="s">
        <v>193</v>
      </c>
      <c r="E80" s="5" t="s">
        <v>193</v>
      </c>
      <c r="F80" s="5" t="s">
        <v>193</v>
      </c>
      <c r="G80" s="6">
        <v>1999</v>
      </c>
    </row>
    <row r="81" spans="1:7" s="37" customFormat="1" ht="12.75">
      <c r="A81" s="37" t="s">
        <v>564</v>
      </c>
      <c r="B81" s="14" t="s">
        <v>133</v>
      </c>
      <c r="C81" s="5">
        <v>0.9</v>
      </c>
      <c r="D81" s="5" t="s">
        <v>193</v>
      </c>
      <c r="E81" s="5" t="s">
        <v>193</v>
      </c>
      <c r="F81" s="5" t="s">
        <v>193</v>
      </c>
      <c r="G81" s="6">
        <v>2003</v>
      </c>
    </row>
    <row r="82" spans="1:7" s="37" customFormat="1" ht="12.75">
      <c r="A82" s="37" t="s">
        <v>561</v>
      </c>
      <c r="B82" s="14" t="s">
        <v>197</v>
      </c>
      <c r="C82" s="5">
        <v>1.39</v>
      </c>
      <c r="D82" s="5" t="s">
        <v>193</v>
      </c>
      <c r="E82" s="5" t="s">
        <v>193</v>
      </c>
      <c r="F82" s="5" t="s">
        <v>193</v>
      </c>
      <c r="G82" s="6">
        <v>2000</v>
      </c>
    </row>
    <row r="83" spans="1:7" s="37" customFormat="1" ht="12.75">
      <c r="A83" s="37" t="s">
        <v>563</v>
      </c>
      <c r="B83" s="14" t="s">
        <v>228</v>
      </c>
      <c r="C83" s="5">
        <v>1.4</v>
      </c>
      <c r="D83" s="5" t="s">
        <v>193</v>
      </c>
      <c r="E83" s="5" t="s">
        <v>193</v>
      </c>
      <c r="F83" s="5" t="s">
        <v>193</v>
      </c>
      <c r="G83" s="6">
        <v>1999</v>
      </c>
    </row>
    <row r="84" spans="1:7" s="37" customFormat="1" ht="12.75">
      <c r="A84" t="s">
        <v>561</v>
      </c>
      <c r="B84" s="14" t="s">
        <v>200</v>
      </c>
      <c r="C84" s="5">
        <v>5.9</v>
      </c>
      <c r="D84" s="5" t="s">
        <v>193</v>
      </c>
      <c r="E84" s="5" t="s">
        <v>193</v>
      </c>
      <c r="F84" s="5" t="s">
        <v>193</v>
      </c>
      <c r="G84" s="6">
        <v>1996</v>
      </c>
    </row>
    <row r="85" spans="1:7" s="37" customFormat="1" ht="12.75">
      <c r="A85" t="s">
        <v>563</v>
      </c>
      <c r="B85" s="70" t="s">
        <v>230</v>
      </c>
      <c r="C85" s="5" t="s">
        <v>193</v>
      </c>
      <c r="D85" s="5">
        <v>0.22</v>
      </c>
      <c r="E85" s="5" t="s">
        <v>193</v>
      </c>
      <c r="F85" s="5" t="s">
        <v>193</v>
      </c>
      <c r="G85" s="6">
        <v>2005</v>
      </c>
    </row>
    <row r="86" spans="1:7" s="37" customFormat="1" ht="12.75">
      <c r="A86" t="s">
        <v>563</v>
      </c>
      <c r="B86" s="70" t="s">
        <v>227</v>
      </c>
      <c r="C86" s="5" t="s">
        <v>193</v>
      </c>
      <c r="D86" s="5">
        <v>1.3</v>
      </c>
      <c r="E86" s="5" t="s">
        <v>193</v>
      </c>
      <c r="F86" s="5" t="s">
        <v>193</v>
      </c>
      <c r="G86" s="6">
        <v>2006</v>
      </c>
    </row>
    <row r="87" spans="1:7" s="37" customFormat="1" ht="12.75">
      <c r="A87" t="s">
        <v>564</v>
      </c>
      <c r="B87" s="70" t="s">
        <v>177</v>
      </c>
      <c r="C87" s="5" t="s">
        <v>193</v>
      </c>
      <c r="D87" s="5">
        <v>3.2</v>
      </c>
      <c r="E87" s="5" t="s">
        <v>193</v>
      </c>
      <c r="F87" s="5" t="s">
        <v>193</v>
      </c>
      <c r="G87" s="6">
        <v>2002</v>
      </c>
    </row>
    <row r="88" spans="1:7" s="37" customFormat="1" ht="12.75">
      <c r="A88" s="37" t="s">
        <v>564</v>
      </c>
      <c r="B88" s="14" t="s">
        <v>274</v>
      </c>
      <c r="C88" s="5" t="s">
        <v>193</v>
      </c>
      <c r="D88" s="5">
        <v>4.5</v>
      </c>
      <c r="E88" s="5" t="s">
        <v>193</v>
      </c>
      <c r="F88" s="5" t="s">
        <v>193</v>
      </c>
      <c r="G88" s="6">
        <v>2001</v>
      </c>
    </row>
  </sheetData>
  <sheetProtection/>
  <autoFilter ref="B1:G75"/>
  <printOptions/>
  <pageMargins left="0.787401575" right="0.787401575" top="0.75" bottom="0.75" header="0.5" footer="0.5"/>
  <pageSetup horizontalDpi="600" verticalDpi="600" orientation="landscape" scale="67" r:id="rId1"/>
  <headerFooter alignWithMargins="0">
    <oddHeader>&amp;L&amp;D&amp;RDRAFT - NOT FOR QUOTATION</oddHeader>
    <oddFooter>&amp;CPlease provide comments and revised or additional data and reports to Christine Weigand (cweigand@worldbank.org). Thank you.</oddFooter>
  </headerFooter>
  <rowBreaks count="7" manualBreakCount="7">
    <brk id="11" min="1" max="9" man="1"/>
    <brk id="20" min="1" max="9" man="1"/>
    <brk id="30" min="1" max="9" man="1"/>
    <brk id="38" min="1" max="9" man="1"/>
    <brk id="46" min="1" max="9" man="1"/>
    <brk id="53" min="1" max="9" man="1"/>
    <brk id="61"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Weigand</dc:creator>
  <cp:keywords/>
  <dc:description/>
  <cp:lastModifiedBy>Flo</cp:lastModifiedBy>
  <cp:lastPrinted>2010-01-16T22:55:01Z</cp:lastPrinted>
  <dcterms:created xsi:type="dcterms:W3CDTF">2005-07-07T13:42:54Z</dcterms:created>
  <dcterms:modified xsi:type="dcterms:W3CDTF">2010-01-16T22:55:50Z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