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tabRatio="496" activeTab="1"/>
  </bookViews>
  <sheets>
    <sheet name="Sheet1" sheetId="1" r:id="rId1"/>
    <sheet name="Cross-Country Budget" sheetId="3" r:id="rId2"/>
    <sheet name="Workplan" sheetId="2" r:id="rId3"/>
  </sheets>
  <externalReferences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<sst xmlns="http://schemas.openxmlformats.org/spreadsheetml/2006/main" count="305" uniqueCount="115">
  <si>
    <t>Total budget 
Cross - country</t>
  </si>
  <si>
    <t>Units</t>
  </si>
  <si>
    <t># Units</t>
  </si>
  <si>
    <t>Unit value</t>
  </si>
  <si>
    <t>ILO</t>
  </si>
  <si>
    <t>1st Instalment</t>
  </si>
  <si>
    <t>1. Human Resources</t>
  </si>
  <si>
    <t>2. Travel</t>
  </si>
  <si>
    <t>3. Equipment and supplies</t>
  </si>
  <si>
    <t>4. Local Office costs</t>
  </si>
  <si>
    <t>5. Services</t>
  </si>
  <si>
    <t xml:space="preserve">5.1. Communication and Visibility </t>
  </si>
  <si>
    <t>5.2. Other services</t>
  </si>
  <si>
    <t>6. Other</t>
  </si>
  <si>
    <t>7. Grant to GCSPF</t>
  </si>
  <si>
    <t>8. Total direct eligible costs of the Action (1-7)</t>
  </si>
  <si>
    <t>9. Indirect costs (maximum 7% of  7, subtotal of direct eligible costs of the Action)</t>
  </si>
  <si>
    <t>10. Total eligible costs of the Action per Agency (8-9) (incl. ILO contributions for ILO part)</t>
  </si>
  <si>
    <t>1st Instalment, incl. ILO contribution</t>
  </si>
  <si>
    <t>ILO Contribution (1st instalment)</t>
  </si>
  <si>
    <t>2nd Instalment, incl. ILO contribution</t>
  </si>
  <si>
    <t>2nd Instalment</t>
  </si>
  <si>
    <t>ILO Contribution (2nd instalment)</t>
  </si>
  <si>
    <t>3rd Instalment, incl. ILO contribution</t>
  </si>
  <si>
    <t>3rd Instalment</t>
  </si>
  <si>
    <t>ILO Contribution (3rd instalment)</t>
  </si>
  <si>
    <t>ILO Contribution - TOTAL</t>
  </si>
  <si>
    <t>ILO Budget exlcuding ILO contribution</t>
  </si>
  <si>
    <t>ILO contribution (more accurate)</t>
  </si>
  <si>
    <t>ILO contribution as a share (%) (more accurate)</t>
  </si>
  <si>
    <r>
      <t>Cross - Country - 44 months
(in EUR)</t>
    </r>
    <r>
      <rPr>
        <b/>
        <sz val="10"/>
        <color indexed="9"/>
        <rFont val="Arial"/>
        <family val="2"/>
      </rPr>
      <t xml:space="preserve">
</t>
    </r>
  </si>
  <si>
    <t>WSM</t>
  </si>
  <si>
    <t>HelpAge</t>
  </si>
  <si>
    <t>Oxfam</t>
  </si>
  <si>
    <t>GCSPF</t>
  </si>
  <si>
    <t>1st Instlment</t>
  </si>
  <si>
    <t xml:space="preserve">Inception </t>
  </si>
  <si>
    <t>1.2 Administrative support staff (G5 step 8)</t>
  </si>
  <si>
    <t>1.1 Project Manager (P5 step 3)</t>
  </si>
  <si>
    <t>Approach 2</t>
  </si>
  <si>
    <t>Cross-Country</t>
  </si>
  <si>
    <t>Diff.</t>
  </si>
  <si>
    <t>Act. Cost for 18 month (40% of project duration</t>
  </si>
  <si>
    <t>ILO Contribution as share of TOTAL</t>
  </si>
  <si>
    <t>9. Total eligible costs of the Action per Agency (7-8) (incl. ILO contributions for ILO part)</t>
  </si>
  <si>
    <t>8. Indirect costs (maximum 7% of  7, subtotal of direct eligible costs of the Action)</t>
  </si>
  <si>
    <t>7. Total direct eligible costs of the Action (1-6)</t>
  </si>
  <si>
    <t>Total budget Approach 2</t>
  </si>
  <si>
    <r>
      <t>Approach 2 - 44 months
(in EUR)</t>
    </r>
    <r>
      <rPr>
        <b/>
        <sz val="10"/>
        <color indexed="9"/>
        <rFont val="Arial"/>
        <family val="2"/>
      </rPr>
      <t xml:space="preserve">
</t>
    </r>
  </si>
  <si>
    <t>9. Total eligible costs of the Action per Agency (7-8)</t>
  </si>
  <si>
    <t>6. Other costs, subgrants to local NGOs</t>
  </si>
  <si>
    <t>5. Other costs, services</t>
  </si>
  <si>
    <t>Total</t>
  </si>
  <si>
    <t>9. Total eligible costs of the Action per Agency (8-9) (incl. ILO contributions)</t>
  </si>
  <si>
    <t>Total budget</t>
  </si>
  <si>
    <t>Total ILO (incl. ILO contributions)</t>
  </si>
  <si>
    <t>Ethiopia
Costs
(in EUR)</t>
  </si>
  <si>
    <t>Angola
Costs
(in EUR)</t>
  </si>
  <si>
    <t>Burkina Faso
Costs
(in EUR)</t>
  </si>
  <si>
    <t>Senegal
Costs
(in EUR)</t>
  </si>
  <si>
    <t>Uganda
Costs
(in EUR)</t>
  </si>
  <si>
    <t>Nepal
Costs
(in EUR)</t>
  </si>
  <si>
    <t>Paraguay
Costs
(in EUR)</t>
  </si>
  <si>
    <r>
      <t>Cambodia
Costs 
(in EUR)</t>
    </r>
    <r>
      <rPr>
        <b/>
        <sz val="10"/>
        <color indexed="9"/>
        <rFont val="Arial"/>
        <family val="2"/>
      </rPr>
      <t xml:space="preserve">
</t>
    </r>
  </si>
  <si>
    <t xml:space="preserve">Consolidated Expenses Per Country Offices
</t>
  </si>
  <si>
    <t>Reviewed - Final</t>
  </si>
  <si>
    <t>Cambodia
Costs 
(in EUR)</t>
  </si>
  <si>
    <t>Outcome 1: To improve partner countries’ design and financing of social protection systems in support of their efforts towards SDGs 1 and 10.</t>
  </si>
  <si>
    <t>Activity 1                                                        Research on multiplier effects</t>
  </si>
  <si>
    <t xml:space="preserve">Activity 3                                                      Further development of the EU SPaN Guidance Package  </t>
  </si>
  <si>
    <t>Activity 5                                                    Training and capacity building - Public Finance Management &amp; Fiscal Space course (5 days - 50/60 participants, either in Turin or in Geneva)</t>
  </si>
  <si>
    <t>Activity 4                                                             Refining of existing tools (e.g.: ISPA tools, Fiscal Space Handbook, etc.)</t>
  </si>
  <si>
    <t xml:space="preserve">Activity 7                                                             Editing &amp; Formatting </t>
  </si>
  <si>
    <t xml:space="preserve">Activity 8                                                              End of project international (closing) workshop/confernece </t>
  </si>
  <si>
    <t>1st year</t>
  </si>
  <si>
    <t>2nd year</t>
  </si>
  <si>
    <t>Activity 2                                                 Analytical work on fiscal space</t>
  </si>
  <si>
    <t xml:space="preserve">Activity 6                                                             Support to regional and global meetings/workshops/conferences                                                                       </t>
  </si>
  <si>
    <t>3rd/4th year</t>
  </si>
  <si>
    <t>UNICEF</t>
  </si>
  <si>
    <t>10. Total eligible costs of the Action per Agency (8-9)</t>
  </si>
  <si>
    <t>Per month</t>
  </si>
  <si>
    <t xml:space="preserve">Per Month </t>
  </si>
  <si>
    <t>Cross - Country
(in EUR)</t>
  </si>
  <si>
    <t>1.7 50% of a consultant's time (inception phase)</t>
  </si>
  <si>
    <t>1.8 UNICEF's contribution:50% of a consultant's time (inception phase)</t>
  </si>
  <si>
    <t>1st year          (1. Oct 2019 - 31. Dec 2020</t>
  </si>
  <si>
    <t>2nd year        (1. Jan 2021 - 31. Dec 2021)</t>
  </si>
  <si>
    <t>3rd year         (1. Jan 2022 - 31. May 2023)</t>
  </si>
  <si>
    <t>1.1 Project Manager - 50%</t>
  </si>
  <si>
    <t>1.4 10% of the time of a PF4C, research, technical support expert</t>
  </si>
  <si>
    <t xml:space="preserve">1.5 10% of the time of Social Protection Specialist - gender, disability and shock responsive </t>
  </si>
  <si>
    <t>1.6 UNICEF's contribution (10% of the time of a social protection specialist - gender and disability and shock responsive SP)</t>
  </si>
  <si>
    <t>List of activities</t>
  </si>
  <si>
    <t>Agencies involved</t>
  </si>
  <si>
    <t>Q2</t>
  </si>
  <si>
    <t>Q3</t>
  </si>
  <si>
    <t>Q4</t>
  </si>
  <si>
    <t>Q1</t>
  </si>
  <si>
    <t xml:space="preserve">Total Cost (EUR) </t>
  </si>
  <si>
    <t>Activity 8:                                        Communication and visibility</t>
  </si>
  <si>
    <t xml:space="preserve">Activity 7:                                                              End of project international (closing) workshop/confernece </t>
  </si>
  <si>
    <t>Activity 9:                                    Overall management of the Action, including monitoring and final evaluation</t>
  </si>
  <si>
    <t xml:space="preserve">Activity 6:                                                             Support to regional and global meetings/workshops/conferences                                                                       </t>
  </si>
  <si>
    <t>Activity 5:                                   Training and capacity building, specifically Public Finance Management &amp; Fiscal Space course</t>
  </si>
  <si>
    <t>Activity 4:                                       Support application and refining of ISPA tools, TRANSFORM and ILO good practice guides</t>
  </si>
  <si>
    <t xml:space="preserve">Activity 3:                                                      Further development of the EU SPaN Guidance Package  </t>
  </si>
  <si>
    <t>Activity 2:                                                 Backstopping analytical work, in particular on fiscal space</t>
  </si>
  <si>
    <t>Activity 1:                                    Research on multiplier effects and coordination of other research activities</t>
  </si>
  <si>
    <t>Outcome 1:                                             To improve partner countries’ design and financing of social protection systems in support of their efforts towards SDGs 1 and 10.</t>
  </si>
  <si>
    <t>ILO/UNICEF</t>
  </si>
  <si>
    <t>1.2 Administrative support - 30%</t>
  </si>
  <si>
    <t xml:space="preserve">Activity 7                                                             Translations, Editing &amp; Formatting </t>
  </si>
  <si>
    <t>1.3 ILO Social Protection Expert w/m</t>
  </si>
  <si>
    <t>1.4 60% of the time of a coordinator / KM / reporting / visibility 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</si>
</sst>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-* #,##0.00\ _F_B_-;\-* #,##0.00\ _F_B_-;_-* &quot;-&quot;??\ _F_B_-;_-@_-"/>
    <numFmt numFmtId="166" formatCode="_-* #,##0\ _F_B_-;\-* #,##0\ _F_B_-;_-* &quot;-&quot;??\ _F_B_-;_-@_-"/>
    <numFmt numFmtId="167" formatCode="#,##0_ ;\-#,##0\ "/>
    <numFmt numFmtId="168" formatCode="_-* #,##0_-;\-* #,##0_-;_-* &quot;-&quot;??_-;_-@_-"/>
    <numFmt numFmtId="169" formatCode="0.0%"/>
    <numFmt numFmtId="170" formatCode="#,##0.00_ ;\-#,##0.00\ "/>
    <numFmt numFmtId="171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theme="0" tint="-0.24997000396251678"/>
      <name val="Calibri"/>
      <family val="2"/>
      <scheme val="minor"/>
    </font>
    <font>
      <b/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1"/>
      <color theme="0" tint="-0.24997000396251678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51">
    <border>
      <left/>
      <right/>
      <top/>
      <bottom/>
      <diagonal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1" tint="0.49998000264167786"/>
      </left>
      <right style="medium">
        <color theme="0" tint="-0.4999699890613556"/>
      </right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1" tint="0.4999800026416778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1" tint="0.49998000264167786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>
        <color theme="1" tint="0.49998000264167786"/>
      </left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1" tint="0.49998000264167786"/>
      </bottom>
    </border>
    <border>
      <left/>
      <right/>
      <top style="thin"/>
      <bottom style="thin"/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 style="thin"/>
      <top style="thin"/>
      <bottom/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1" tint="0.49998000264167786"/>
      </right>
      <top/>
      <bottom/>
    </border>
    <border>
      <left style="medium">
        <color theme="0" tint="-0.4999699890613556"/>
      </left>
      <right style="thin">
        <color theme="1" tint="0.4999800026416778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 style="thin"/>
      <right/>
      <top style="thin"/>
      <bottom style="medium">
        <color theme="0" tint="-0.4999699890613556"/>
      </bottom>
    </border>
    <border>
      <left/>
      <right/>
      <top style="thin"/>
      <bottom style="medium">
        <color theme="0" tint="-0.4999699890613556"/>
      </bottom>
    </border>
    <border>
      <left/>
      <right style="thin"/>
      <top style="thin"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164" fontId="0" fillId="0" borderId="0" applyFont="0" applyFill="0" applyBorder="0" applyAlignment="0" applyProtection="0"/>
  </cellStyleXfs>
  <cellXfs count="18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66" fontId="7" fillId="4" borderId="5" xfId="20" applyNumberFormat="1" applyFont="1" applyFill="1" applyBorder="1" applyAlignment="1">
      <alignment horizontal="center" vertical="center" wrapText="1"/>
    </xf>
    <xf numFmtId="166" fontId="7" fillId="4" borderId="5" xfId="2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 indent="1"/>
    </xf>
    <xf numFmtId="166" fontId="7" fillId="4" borderId="7" xfId="2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166" fontId="7" fillId="4" borderId="9" xfId="2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0" fillId="9" borderId="11" xfId="0" applyFont="1" applyFill="1" applyBorder="1" applyAlignment="1">
      <alignment vertical="center" wrapText="1"/>
    </xf>
    <xf numFmtId="166" fontId="9" fillId="10" borderId="13" xfId="20" applyNumberFormat="1" applyFont="1" applyFill="1" applyBorder="1" applyAlignment="1">
      <alignment vertical="center"/>
    </xf>
    <xf numFmtId="0" fontId="0" fillId="0" borderId="6" xfId="0" applyBorder="1"/>
    <xf numFmtId="0" fontId="7" fillId="11" borderId="6" xfId="0" applyFont="1" applyFill="1" applyBorder="1" applyAlignment="1">
      <alignment vertical="center"/>
    </xf>
    <xf numFmtId="0" fontId="2" fillId="12" borderId="6" xfId="0" applyFont="1" applyFill="1" applyBorder="1"/>
    <xf numFmtId="169" fontId="2" fillId="12" borderId="6" xfId="15" applyNumberFormat="1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0" fillId="0" borderId="0" xfId="0" applyNumberFormat="1"/>
    <xf numFmtId="166" fontId="3" fillId="0" borderId="6" xfId="0" applyNumberFormat="1" applyFont="1" applyBorder="1"/>
    <xf numFmtId="0" fontId="10" fillId="9" borderId="6" xfId="0" applyFont="1" applyFill="1" applyBorder="1" applyAlignment="1">
      <alignment horizontal="left" vertical="center" wrapText="1" indent="1"/>
    </xf>
    <xf numFmtId="0" fontId="2" fillId="9" borderId="6" xfId="0" applyFont="1" applyFill="1" applyBorder="1" applyAlignment="1">
      <alignment horizontal="center" wrapText="1"/>
    </xf>
    <xf numFmtId="0" fontId="2" fillId="9" borderId="6" xfId="0" applyFont="1" applyFill="1" applyBorder="1"/>
    <xf numFmtId="0" fontId="3" fillId="0" borderId="6" xfId="0" applyFont="1" applyBorder="1"/>
    <xf numFmtId="168" fontId="2" fillId="12" borderId="6" xfId="0" applyNumberFormat="1" applyFont="1" applyFill="1" applyBorder="1"/>
    <xf numFmtId="168" fontId="2" fillId="12" borderId="6" xfId="21" applyNumberFormat="1" applyFont="1" applyFill="1" applyBorder="1"/>
    <xf numFmtId="164" fontId="0" fillId="13" borderId="6" xfId="0" applyNumberFormat="1" applyFill="1" applyBorder="1"/>
    <xf numFmtId="168" fontId="0" fillId="0" borderId="6" xfId="21" applyNumberFormat="1" applyFont="1" applyBorder="1"/>
    <xf numFmtId="168" fontId="7" fillId="11" borderId="6" xfId="21" applyNumberFormat="1" applyFont="1" applyFill="1" applyBorder="1" applyAlignment="1">
      <alignment vertical="center"/>
    </xf>
    <xf numFmtId="170" fontId="10" fillId="9" borderId="16" xfId="21" applyNumberFormat="1" applyFont="1" applyFill="1" applyBorder="1" applyAlignment="1">
      <alignment horizontal="right" vertical="center" wrapText="1"/>
    </xf>
    <xf numFmtId="0" fontId="10" fillId="9" borderId="16" xfId="0" applyFont="1" applyFill="1" applyBorder="1" applyAlignment="1">
      <alignment vertical="center" wrapText="1"/>
    </xf>
    <xf numFmtId="170" fontId="13" fillId="14" borderId="12" xfId="21" applyNumberFormat="1" applyFont="1" applyFill="1" applyBorder="1" applyAlignment="1">
      <alignment horizontal="right" vertical="center"/>
    </xf>
    <xf numFmtId="170" fontId="13" fillId="3" borderId="17" xfId="21" applyNumberFormat="1" applyFont="1" applyFill="1" applyBorder="1" applyAlignment="1">
      <alignment horizontal="right" vertical="center"/>
    </xf>
    <xf numFmtId="166" fontId="13" fillId="3" borderId="17" xfId="20" applyNumberFormat="1" applyFont="1" applyFill="1" applyBorder="1" applyAlignment="1">
      <alignment vertical="center"/>
    </xf>
    <xf numFmtId="170" fontId="7" fillId="4" borderId="7" xfId="21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7" fontId="9" fillId="10" borderId="13" xfId="21" applyNumberFormat="1" applyFont="1" applyFill="1" applyBorder="1" applyAlignment="1">
      <alignment horizontal="right" vertical="center"/>
    </xf>
    <xf numFmtId="167" fontId="13" fillId="14" borderId="17" xfId="21" applyNumberFormat="1" applyFont="1" applyFill="1" applyBorder="1" applyAlignment="1">
      <alignment horizontal="right" vertical="center"/>
    </xf>
    <xf numFmtId="167" fontId="13" fillId="14" borderId="12" xfId="21" applyNumberFormat="1" applyFont="1" applyFill="1" applyBorder="1" applyAlignment="1">
      <alignment horizontal="right" vertical="center"/>
    </xf>
    <xf numFmtId="167" fontId="10" fillId="7" borderId="16" xfId="21" applyNumberFormat="1" applyFont="1" applyFill="1" applyBorder="1" applyAlignment="1">
      <alignment horizontal="right" vertical="center" wrapText="1"/>
    </xf>
    <xf numFmtId="3" fontId="1" fillId="11" borderId="6" xfId="0" applyNumberFormat="1" applyFont="1" applyFill="1" applyBorder="1" applyAlignment="1">
      <alignment horizontal="right" vertical="center"/>
    </xf>
    <xf numFmtId="3" fontId="7" fillId="11" borderId="6" xfId="0" applyNumberFormat="1" applyFont="1" applyFill="1" applyBorder="1" applyAlignment="1">
      <alignment horizontal="right" vertical="center"/>
    </xf>
    <xf numFmtId="3" fontId="1" fillId="8" borderId="6" xfId="0" applyNumberFormat="1" applyFont="1" applyFill="1" applyBorder="1" applyAlignment="1">
      <alignment horizontal="right" vertical="center"/>
    </xf>
    <xf numFmtId="3" fontId="1" fillId="14" borderId="6" xfId="0" applyNumberFormat="1" applyFont="1" applyFill="1" applyBorder="1" applyAlignment="1">
      <alignment horizontal="right" vertical="center"/>
    </xf>
    <xf numFmtId="0" fontId="1" fillId="8" borderId="6" xfId="0" applyFont="1" applyFill="1" applyBorder="1" applyAlignment="1">
      <alignment vertical="center"/>
    </xf>
    <xf numFmtId="3" fontId="6" fillId="15" borderId="11" xfId="21" applyNumberFormat="1" applyFont="1" applyFill="1" applyBorder="1" applyAlignment="1">
      <alignment horizontal="right" vertical="center" wrapText="1"/>
    </xf>
    <xf numFmtId="3" fontId="10" fillId="9" borderId="16" xfId="21" applyNumberFormat="1" applyFont="1" applyFill="1" applyBorder="1" applyAlignment="1">
      <alignment horizontal="right" vertical="center" wrapText="1"/>
    </xf>
    <xf numFmtId="3" fontId="13" fillId="14" borderId="17" xfId="21" applyNumberFormat="1" applyFont="1" applyFill="1" applyBorder="1" applyAlignment="1">
      <alignment horizontal="right" vertical="center"/>
    </xf>
    <xf numFmtId="3" fontId="13" fillId="14" borderId="12" xfId="21" applyNumberFormat="1" applyFont="1" applyFill="1" applyBorder="1" applyAlignment="1">
      <alignment horizontal="right" vertical="center"/>
    </xf>
    <xf numFmtId="3" fontId="12" fillId="14" borderId="12" xfId="21" applyNumberFormat="1" applyFont="1" applyFill="1" applyBorder="1" applyAlignment="1">
      <alignment horizontal="right" vertical="center"/>
    </xf>
    <xf numFmtId="3" fontId="9" fillId="16" borderId="24" xfId="21" applyNumberFormat="1" applyFont="1" applyFill="1" applyBorder="1" applyAlignment="1">
      <alignment horizontal="right" vertical="center"/>
    </xf>
    <xf numFmtId="3" fontId="9" fillId="16" borderId="25" xfId="21" applyNumberFormat="1" applyFont="1" applyFill="1" applyBorder="1" applyAlignment="1">
      <alignment horizontal="right" vertical="center"/>
    </xf>
    <xf numFmtId="3" fontId="9" fillId="16" borderId="26" xfId="21" applyNumberFormat="1" applyFont="1" applyFill="1" applyBorder="1" applyAlignment="1">
      <alignment horizontal="right" vertical="center"/>
    </xf>
    <xf numFmtId="3" fontId="7" fillId="4" borderId="6" xfId="21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7" fillId="5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2" fillId="17" borderId="30" xfId="0" applyFont="1" applyFill="1" applyBorder="1" applyAlignment="1">
      <alignment horizontal="center" wrapText="1"/>
    </xf>
    <xf numFmtId="3" fontId="2" fillId="12" borderId="6" xfId="0" applyNumberFormat="1" applyFont="1" applyFill="1" applyBorder="1"/>
    <xf numFmtId="0" fontId="2" fillId="12" borderId="6" xfId="0" applyFont="1" applyFill="1" applyBorder="1" applyAlignment="1">
      <alignment wrapText="1"/>
    </xf>
    <xf numFmtId="0" fontId="14" fillId="0" borderId="0" xfId="0" applyFont="1"/>
    <xf numFmtId="3" fontId="15" fillId="15" borderId="11" xfId="21" applyNumberFormat="1" applyFont="1" applyFill="1" applyBorder="1" applyAlignment="1">
      <alignment horizontal="right" vertical="center" wrapText="1"/>
    </xf>
    <xf numFmtId="3" fontId="15" fillId="9" borderId="16" xfId="21" applyNumberFormat="1" applyFont="1" applyFill="1" applyBorder="1" applyAlignment="1">
      <alignment horizontal="right" vertical="center" wrapText="1"/>
    </xf>
    <xf numFmtId="0" fontId="15" fillId="9" borderId="11" xfId="0" applyFont="1" applyFill="1" applyBorder="1" applyAlignment="1">
      <alignment vertical="center" wrapText="1"/>
    </xf>
    <xf numFmtId="3" fontId="16" fillId="16" borderId="10" xfId="21" applyNumberFormat="1" applyFont="1" applyFill="1" applyBorder="1" applyAlignment="1">
      <alignment horizontal="right" vertical="center"/>
    </xf>
    <xf numFmtId="3" fontId="16" fillId="16" borderId="12" xfId="21" applyNumberFormat="1" applyFont="1" applyFill="1" applyBorder="1" applyAlignment="1">
      <alignment horizontal="right" vertical="center"/>
    </xf>
    <xf numFmtId="3" fontId="16" fillId="16" borderId="17" xfId="21" applyNumberFormat="1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left" vertical="center" wrapText="1"/>
    </xf>
    <xf numFmtId="3" fontId="15" fillId="4" borderId="5" xfId="21" applyNumberFormat="1" applyFont="1" applyFill="1" applyBorder="1" applyAlignment="1">
      <alignment horizontal="right" vertical="center" wrapText="1"/>
    </xf>
    <xf numFmtId="3" fontId="15" fillId="4" borderId="7" xfId="21" applyNumberFormat="1" applyFont="1" applyFill="1" applyBorder="1" applyAlignment="1">
      <alignment horizontal="right" vertical="center" wrapText="1"/>
    </xf>
    <xf numFmtId="0" fontId="15" fillId="18" borderId="31" xfId="0" applyFont="1" applyFill="1" applyBorder="1" applyAlignment="1">
      <alignment horizontal="right" vertical="center" wrapText="1"/>
    </xf>
    <xf numFmtId="3" fontId="15" fillId="4" borderId="9" xfId="21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3" fontId="15" fillId="18" borderId="31" xfId="0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15" fillId="5" borderId="8" xfId="0" applyFont="1" applyFill="1" applyBorder="1" applyAlignment="1">
      <alignment vertical="center" wrapText="1"/>
    </xf>
    <xf numFmtId="3" fontId="15" fillId="18" borderId="32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4" fillId="8" borderId="0" xfId="0" applyFont="1" applyFill="1"/>
    <xf numFmtId="0" fontId="14" fillId="8" borderId="6" xfId="0" applyFont="1" applyFill="1" applyBorder="1"/>
    <xf numFmtId="0" fontId="18" fillId="8" borderId="3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0" fontId="7" fillId="4" borderId="9" xfId="21" applyNumberFormat="1" applyFont="1" applyFill="1" applyBorder="1" applyAlignment="1">
      <alignment horizontal="right" vertical="center" wrapText="1"/>
    </xf>
    <xf numFmtId="170" fontId="10" fillId="7" borderId="16" xfId="21" applyNumberFormat="1" applyFont="1" applyFill="1" applyBorder="1" applyAlignment="1">
      <alignment horizontal="right" vertical="center" wrapText="1"/>
    </xf>
    <xf numFmtId="166" fontId="9" fillId="10" borderId="17" xfId="20" applyNumberFormat="1" applyFont="1" applyFill="1" applyBorder="1" applyAlignment="1">
      <alignment vertical="center"/>
    </xf>
    <xf numFmtId="170" fontId="9" fillId="10" borderId="17" xfId="21" applyNumberFormat="1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center" wrapText="1"/>
    </xf>
    <xf numFmtId="3" fontId="16" fillId="16" borderId="3" xfId="21" applyNumberFormat="1" applyFont="1" applyFill="1" applyBorder="1" applyAlignment="1">
      <alignment horizontal="right" vertical="center"/>
    </xf>
    <xf numFmtId="3" fontId="12" fillId="14" borderId="3" xfId="21" applyNumberFormat="1" applyFont="1" applyFill="1" applyBorder="1" applyAlignment="1">
      <alignment horizontal="right" vertical="center"/>
    </xf>
    <xf numFmtId="3" fontId="1" fillId="8" borderId="0" xfId="0" applyNumberFormat="1" applyFont="1" applyFill="1" applyBorder="1" applyAlignment="1">
      <alignment horizontal="right" vertical="center"/>
    </xf>
    <xf numFmtId="3" fontId="7" fillId="11" borderId="0" xfId="0" applyNumberFormat="1" applyFont="1" applyFill="1" applyBorder="1" applyAlignment="1">
      <alignment horizontal="right" vertical="center"/>
    </xf>
    <xf numFmtId="166" fontId="7" fillId="19" borderId="5" xfId="20" applyNumberFormat="1" applyFont="1" applyFill="1" applyBorder="1" applyAlignment="1">
      <alignment horizontal="center" vertical="center" wrapText="1"/>
    </xf>
    <xf numFmtId="166" fontId="10" fillId="19" borderId="5" xfId="20" applyNumberFormat="1" applyFont="1" applyFill="1" applyBorder="1" applyAlignment="1">
      <alignment horizontal="center" vertical="center" wrapText="1"/>
    </xf>
    <xf numFmtId="171" fontId="7" fillId="4" borderId="7" xfId="18" applyNumberFormat="1" applyFont="1" applyFill="1" applyBorder="1" applyAlignment="1">
      <alignment horizontal="right" vertical="center" wrapText="1"/>
    </xf>
    <xf numFmtId="171" fontId="7" fillId="4" borderId="9" xfId="18" applyNumberFormat="1" applyFont="1" applyFill="1" applyBorder="1" applyAlignment="1">
      <alignment horizontal="right" vertical="center" wrapText="1"/>
    </xf>
    <xf numFmtId="171" fontId="7" fillId="4" borderId="9" xfId="18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8" borderId="6" xfId="22" applyFont="1" applyFill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0" fillId="20" borderId="33" xfId="22" applyFont="1" applyFill="1" applyBorder="1" applyAlignment="1">
      <alignment horizontal="center" vertical="center" wrapText="1"/>
      <protection/>
    </xf>
    <xf numFmtId="3" fontId="20" fillId="8" borderId="6" xfId="23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21" borderId="6" xfId="22" applyFont="1" applyFill="1" applyBorder="1" applyAlignment="1">
      <alignment horizontal="center" vertical="center" wrapText="1"/>
      <protection/>
    </xf>
    <xf numFmtId="0" fontId="10" fillId="8" borderId="6" xfId="22" applyFont="1" applyFill="1" applyBorder="1" applyAlignment="1">
      <alignment vertical="center" wrapText="1"/>
      <protection/>
    </xf>
    <xf numFmtId="0" fontId="10" fillId="21" borderId="6" xfId="22" applyFont="1" applyFill="1" applyBorder="1" applyAlignment="1">
      <alignment vertical="center" wrapText="1"/>
      <protection/>
    </xf>
    <xf numFmtId="0" fontId="10" fillId="22" borderId="6" xfId="22" applyFont="1" applyFill="1" applyBorder="1" applyAlignment="1">
      <alignment vertical="center" wrapText="1"/>
      <protection/>
    </xf>
    <xf numFmtId="0" fontId="10" fillId="23" borderId="6" xfId="22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center" wrapText="1" indent="1"/>
    </xf>
    <xf numFmtId="164" fontId="0" fillId="0" borderId="0" xfId="18" applyFont="1"/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wrapText="1"/>
    </xf>
    <xf numFmtId="0" fontId="2" fillId="17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38" xfId="0" applyFont="1" applyFill="1" applyBorder="1" applyAlignment="1">
      <alignment horizontal="center" wrapText="1"/>
    </xf>
    <xf numFmtId="0" fontId="18" fillId="8" borderId="3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wrapText="1"/>
    </xf>
    <xf numFmtId="0" fontId="2" fillId="17" borderId="40" xfId="0" applyFont="1" applyFill="1" applyBorder="1" applyAlignment="1">
      <alignment horizontal="center" wrapText="1"/>
    </xf>
    <xf numFmtId="0" fontId="2" fillId="17" borderId="41" xfId="0" applyFont="1" applyFill="1" applyBorder="1" applyAlignment="1">
      <alignment horizontal="center" wrapText="1"/>
    </xf>
    <xf numFmtId="0" fontId="2" fillId="17" borderId="4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166" fontId="10" fillId="19" borderId="43" xfId="20" applyNumberFormat="1" applyFont="1" applyFill="1" applyBorder="1" applyAlignment="1">
      <alignment horizontal="center" vertical="center"/>
    </xf>
    <xf numFmtId="166" fontId="10" fillId="19" borderId="44" xfId="20" applyNumberFormat="1" applyFont="1" applyFill="1" applyBorder="1" applyAlignment="1">
      <alignment horizontal="center" vertical="center"/>
    </xf>
    <xf numFmtId="166" fontId="10" fillId="19" borderId="12" xfId="20" applyNumberFormat="1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71" fontId="10" fillId="20" borderId="45" xfId="23" applyNumberFormat="1" applyFont="1" applyFill="1" applyBorder="1" applyAlignment="1">
      <alignment horizontal="center" vertical="center" wrapText="1"/>
    </xf>
    <xf numFmtId="171" fontId="10" fillId="20" borderId="46" xfId="23" applyNumberFormat="1" applyFont="1" applyFill="1" applyBorder="1" applyAlignment="1">
      <alignment horizontal="center" vertical="center" wrapText="1"/>
    </xf>
    <xf numFmtId="0" fontId="10" fillId="20" borderId="47" xfId="22" applyFont="1" applyFill="1" applyBorder="1" applyAlignment="1">
      <alignment horizontal="center" vertical="center" wrapText="1"/>
      <protection/>
    </xf>
    <xf numFmtId="0" fontId="10" fillId="20" borderId="33" xfId="22" applyFont="1" applyFill="1" applyBorder="1" applyAlignment="1">
      <alignment horizontal="center" vertical="center" wrapText="1"/>
      <protection/>
    </xf>
    <xf numFmtId="0" fontId="10" fillId="20" borderId="48" xfId="0" applyFont="1" applyFill="1" applyBorder="1" applyAlignment="1">
      <alignment horizontal="center" vertical="center" wrapText="1"/>
    </xf>
    <xf numFmtId="0" fontId="10" fillId="20" borderId="49" xfId="0" applyFont="1" applyFill="1" applyBorder="1" applyAlignment="1">
      <alignment horizontal="center" vertical="center" wrapText="1"/>
    </xf>
    <xf numFmtId="0" fontId="10" fillId="20" borderId="5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Normal 3 2 2" xfId="22"/>
    <cellStyle name="Comma 4 2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AGSHIP%20PROGRAMME%20-%20SPFs%20for%20All\02%20-%20Fund%20raising%20and%20partnerships\01%20-%20Donor%20countries\18-%20EC\01%20GLO1919EUR\Budget\1st%20Instalment\1st%20Instalment%20-%20ANNEX%20III%20-%20BUDGET_FINAL_v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Annex ÎII (original)"/>
      <sheetName val="1st Instalment (Calculations)"/>
      <sheetName val="1st Instalment (Reviewed-Final)"/>
      <sheetName val="Staff cost"/>
    </sheetNames>
    <sheetDataSet>
      <sheetData sheetId="0">
        <row r="41">
          <cell r="B41">
            <v>329389.51424460433</v>
          </cell>
          <cell r="D41">
            <v>329370.83179856115</v>
          </cell>
          <cell r="F41">
            <v>329565.2676258993</v>
          </cell>
          <cell r="H41">
            <v>328443.97489208635</v>
          </cell>
          <cell r="J41">
            <v>329478.42884892086</v>
          </cell>
          <cell r="L41">
            <v>329365.6422302159</v>
          </cell>
          <cell r="N41">
            <v>329316.16834532376</v>
          </cell>
          <cell r="P41">
            <v>328990.2634532374</v>
          </cell>
        </row>
        <row r="51">
          <cell r="A51" t="str">
            <v>1.1 Project Manager (P5 step 3) 50%</v>
          </cell>
          <cell r="B51" t="str">
            <v>Per month</v>
          </cell>
        </row>
        <row r="52">
          <cell r="A52" t="str">
            <v>1.2 Administrative support (G5 step 8) 50%</v>
          </cell>
          <cell r="B52" t="str">
            <v>Per month</v>
          </cell>
        </row>
        <row r="53">
          <cell r="A53" t="str">
            <v>1.3 65% of the time of a P3 (coorodnator/KM/reporting/visibility)</v>
          </cell>
          <cell r="B53" t="str">
            <v>Per Month </v>
          </cell>
        </row>
        <row r="54">
          <cell r="A54" t="str">
            <v>1.4 20% of the time of a P4 (PF4C, research, technical support)</v>
          </cell>
          <cell r="B54" t="str">
            <v>Per Month </v>
          </cell>
        </row>
        <row r="55">
          <cell r="A55" t="str">
            <v>1.5 50% of a consultant's time (inception phase)</v>
          </cell>
          <cell r="B55" t="str">
            <v>Per month</v>
          </cell>
        </row>
        <row r="78">
          <cell r="A78" t="str">
            <v>1.1 Project Manager (P5 step 3) 50%</v>
          </cell>
          <cell r="B78" t="str">
            <v>Per month</v>
          </cell>
        </row>
        <row r="79">
          <cell r="A79" t="str">
            <v>1.2 Administrative support staff (G5 step 8) 50%</v>
          </cell>
          <cell r="B79" t="str">
            <v>Per month</v>
          </cell>
        </row>
        <row r="80">
          <cell r="A80" t="str">
            <v>1.3 Workmonths technical experts (Actuarial, Statistical, Public Finance) - P3</v>
          </cell>
          <cell r="B80" t="str">
            <v>Per month</v>
          </cell>
        </row>
        <row r="81">
          <cell r="A81" t="str">
            <v>1.4 Workmonths technical experts (Legal, Policy, Communication) - P3</v>
          </cell>
          <cell r="B81" t="str">
            <v>Per month</v>
          </cell>
        </row>
      </sheetData>
      <sheetData sheetId="1">
        <row r="27">
          <cell r="J27">
            <v>0.29962500000000003</v>
          </cell>
        </row>
        <row r="29">
          <cell r="I29">
            <v>0.40074999999999994</v>
          </cell>
        </row>
        <row r="30">
          <cell r="I30">
            <v>0.40075</v>
          </cell>
          <cell r="J30">
            <v>0.29962500000000003</v>
          </cell>
        </row>
        <row r="52">
          <cell r="C52">
            <v>329389.51424460433</v>
          </cell>
          <cell r="E52">
            <v>329370.83179856115</v>
          </cell>
          <cell r="G52">
            <v>329565.2676258993</v>
          </cell>
          <cell r="I52">
            <v>328443.97489208635</v>
          </cell>
          <cell r="K52">
            <v>329478.42884892086</v>
          </cell>
          <cell r="M52">
            <v>329365.6422302159</v>
          </cell>
          <cell r="O52">
            <v>329316.16834532376</v>
          </cell>
          <cell r="Q52">
            <v>328990.2634532374</v>
          </cell>
        </row>
        <row r="61">
          <cell r="B61">
            <v>821932.6618705037</v>
          </cell>
          <cell r="D61">
            <v>821886.0431654678</v>
          </cell>
          <cell r="F61">
            <v>822371.2230215828</v>
          </cell>
          <cell r="H61">
            <v>819573.2374100721</v>
          </cell>
          <cell r="J61">
            <v>822154.5323741009</v>
          </cell>
          <cell r="L61">
            <v>821873.0935251799</v>
          </cell>
          <cell r="N61">
            <v>821749.64028777</v>
          </cell>
          <cell r="P61">
            <v>820936.4028776978</v>
          </cell>
          <cell r="S61">
            <v>6572476.8345323745</v>
          </cell>
        </row>
        <row r="62">
          <cell r="A62" t="str">
            <v>1st Instalment (excluding ILO contribution)</v>
          </cell>
          <cell r="C62">
            <v>329389.51424460433</v>
          </cell>
          <cell r="E62">
            <v>329370.8317985612</v>
          </cell>
          <cell r="G62">
            <v>329565.2676258993</v>
          </cell>
          <cell r="I62">
            <v>328443.9748920864</v>
          </cell>
          <cell r="K62">
            <v>329478.4288489209</v>
          </cell>
          <cell r="M62">
            <v>329365.64223021583</v>
          </cell>
          <cell r="O62">
            <v>329316.1683453238</v>
          </cell>
          <cell r="Q62">
            <v>328990.2634532374</v>
          </cell>
          <cell r="S62">
            <v>2633920.091438849</v>
          </cell>
        </row>
        <row r="63">
          <cell r="A63" t="str">
            <v>ILO contribution (more accurate)</v>
          </cell>
          <cell r="B63">
            <v>130139.3381294964</v>
          </cell>
          <cell r="C63">
            <v>52153.33975539568</v>
          </cell>
          <cell r="D63">
            <v>130131.9568345324</v>
          </cell>
          <cell r="E63">
            <v>52150.381701438855</v>
          </cell>
          <cell r="F63">
            <v>130208.77697841727</v>
          </cell>
          <cell r="G63">
            <v>52181.16737410072</v>
          </cell>
          <cell r="H63">
            <v>129765.76258992808</v>
          </cell>
          <cell r="I63">
            <v>52003.629357913676</v>
          </cell>
          <cell r="J63">
            <v>130174.4676258993</v>
          </cell>
          <cell r="K63">
            <v>52167.41790107914</v>
          </cell>
          <cell r="L63">
            <v>130129.90647482015</v>
          </cell>
          <cell r="M63">
            <v>52149.56001978418</v>
          </cell>
          <cell r="N63">
            <v>130110.35971223023</v>
          </cell>
          <cell r="O63">
            <v>52141.72665467626</v>
          </cell>
          <cell r="P63">
            <v>129981.59712230215</v>
          </cell>
          <cell r="Q63">
            <v>52090.12504676259</v>
          </cell>
          <cell r="S63">
            <v>1040642.1654676261</v>
          </cell>
        </row>
        <row r="64">
          <cell r="A64" t="str">
            <v>ILO contribution as a share (%) (more accurate)</v>
          </cell>
          <cell r="B64">
            <v>0.15833333333333333</v>
          </cell>
          <cell r="C64">
            <v>0.15833333333333333</v>
          </cell>
          <cell r="D64">
            <v>0.15833333333333333</v>
          </cell>
          <cell r="E64">
            <v>0.15833333333333333</v>
          </cell>
          <cell r="F64">
            <v>0.15833333333333333</v>
          </cell>
          <cell r="G64">
            <v>0.15833333333333333</v>
          </cell>
          <cell r="H64">
            <v>0.15833333333333333</v>
          </cell>
          <cell r="I64">
            <v>0.15833333333333333</v>
          </cell>
          <cell r="J64">
            <v>0.15833333333333333</v>
          </cell>
          <cell r="K64">
            <v>0.15833333333333333</v>
          </cell>
          <cell r="L64">
            <v>0.15833333333333333</v>
          </cell>
          <cell r="M64">
            <v>0.15833333333333335</v>
          </cell>
          <cell r="N64">
            <v>0.15833333333333333</v>
          </cell>
          <cell r="O64">
            <v>0.1583333333333333</v>
          </cell>
          <cell r="P64">
            <v>0.15833333333333333</v>
          </cell>
          <cell r="Q64">
            <v>0.15833333333333333</v>
          </cell>
        </row>
        <row r="72">
          <cell r="F72">
            <v>156034.14373362792</v>
          </cell>
        </row>
        <row r="73">
          <cell r="F73">
            <v>86859.09271058657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E84">
            <v>916254</v>
          </cell>
        </row>
        <row r="88">
          <cell r="F88">
            <v>567189.289625</v>
          </cell>
        </row>
        <row r="89">
          <cell r="F89">
            <v>523362.11077227973</v>
          </cell>
        </row>
        <row r="98">
          <cell r="E98">
            <v>1222210.6082901554</v>
          </cell>
          <cell r="F98">
            <v>890550.5619367098</v>
          </cell>
        </row>
        <row r="99">
          <cell r="E99">
            <v>193109.27610984445</v>
          </cell>
          <cell r="F99">
            <v>77388.54240102015</v>
          </cell>
        </row>
        <row r="100">
          <cell r="E100">
            <v>0.15799999999999992</v>
          </cell>
          <cell r="F100">
            <v>0.1580001094629614</v>
          </cell>
        </row>
        <row r="107">
          <cell r="C107">
            <v>44</v>
          </cell>
          <cell r="D107">
            <v>19235.903000000002</v>
          </cell>
          <cell r="E107">
            <v>423190</v>
          </cell>
          <cell r="F107">
            <v>146411.57389324595</v>
          </cell>
          <cell r="G107">
            <v>423190</v>
          </cell>
        </row>
        <row r="108">
          <cell r="C108">
            <v>44</v>
          </cell>
          <cell r="D108">
            <v>10707.989</v>
          </cell>
          <cell r="E108">
            <v>235576</v>
          </cell>
          <cell r="F108">
            <v>81502.52352719891</v>
          </cell>
          <cell r="G108">
            <v>235576</v>
          </cell>
        </row>
        <row r="109">
          <cell r="C109">
            <v>25</v>
          </cell>
          <cell r="D109">
            <v>14655.07</v>
          </cell>
          <cell r="E109">
            <v>366377</v>
          </cell>
          <cell r="F109">
            <v>126755.90918567493</v>
          </cell>
          <cell r="G109">
            <v>366377</v>
          </cell>
        </row>
        <row r="110">
          <cell r="C110">
            <v>26</v>
          </cell>
          <cell r="D110">
            <v>14656.07</v>
          </cell>
          <cell r="E110">
            <v>381058</v>
          </cell>
          <cell r="F110">
            <v>131835.11312793902</v>
          </cell>
          <cell r="G110">
            <v>381058</v>
          </cell>
        </row>
        <row r="111">
          <cell r="E111">
            <v>170000</v>
          </cell>
          <cell r="F111">
            <v>58815.11274333471</v>
          </cell>
          <cell r="G111">
            <v>170000</v>
          </cell>
        </row>
        <row r="112">
          <cell r="E112">
            <v>20000</v>
          </cell>
          <cell r="F112">
            <v>6919.425028627612</v>
          </cell>
          <cell r="G112">
            <v>20000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14">
          <cell r="E114">
            <v>2956279</v>
          </cell>
          <cell r="G114">
            <v>2956279</v>
          </cell>
        </row>
        <row r="115">
          <cell r="E115">
            <v>206939.53000000003</v>
          </cell>
          <cell r="F115">
            <v>71595.12816472174</v>
          </cell>
          <cell r="G115">
            <v>206939.53000000003</v>
          </cell>
        </row>
        <row r="116">
          <cell r="E116">
            <v>2749339.4699999997</v>
          </cell>
          <cell r="F116">
            <v>951192.4170455886</v>
          </cell>
          <cell r="G116">
            <v>2749339.4699999997</v>
          </cell>
        </row>
        <row r="117">
          <cell r="E117">
            <v>0</v>
          </cell>
          <cell r="F117">
            <v>0</v>
          </cell>
          <cell r="G117">
            <v>0</v>
          </cell>
        </row>
        <row r="132">
          <cell r="E132">
            <v>4205312.805755395</v>
          </cell>
          <cell r="F132">
            <v>1685279.2027163315</v>
          </cell>
        </row>
        <row r="133">
          <cell r="E133">
            <v>665841.1942446046</v>
          </cell>
          <cell r="F133">
            <v>266835.85859352525</v>
          </cell>
        </row>
        <row r="134">
          <cell r="E134">
            <v>0.1583333333333334</v>
          </cell>
          <cell r="F134">
            <v>0.15833332433192046</v>
          </cell>
        </row>
      </sheetData>
      <sheetData sheetId="2"/>
      <sheetData sheetId="3">
        <row r="7">
          <cell r="E7">
            <v>341646.4673669091</v>
          </cell>
        </row>
        <row r="15">
          <cell r="E15">
            <v>189066.34347787057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4" sqref="B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Z196"/>
  <sheetViews>
    <sheetView tabSelected="1" zoomScale="84" zoomScaleNormal="84" workbookViewId="0" topLeftCell="A63">
      <selection activeCell="I200" sqref="I200"/>
    </sheetView>
  </sheetViews>
  <sheetFormatPr defaultColWidth="9.140625" defaultRowHeight="15"/>
  <cols>
    <col min="1" max="1" width="43.28125" style="0" customWidth="1"/>
    <col min="2" max="3" width="13.57421875" style="0" hidden="1" customWidth="1"/>
    <col min="4" max="4" width="14.57421875" style="0" hidden="1" customWidth="1"/>
    <col min="5" max="5" width="11.00390625" style="0" customWidth="1"/>
    <col min="6" max="6" width="15.00390625" style="0" customWidth="1"/>
    <col min="7" max="8" width="13.57421875" style="0" customWidth="1"/>
    <col min="9" max="9" width="11.00390625" style="0" customWidth="1"/>
    <col min="10" max="12" width="13.8515625" style="0" customWidth="1"/>
    <col min="13" max="13" width="12.57421875" style="0" customWidth="1"/>
    <col min="14" max="25" width="13.57421875" style="0" customWidth="1"/>
  </cols>
  <sheetData>
    <row r="1" spans="1:26" s="96" customFormat="1" ht="15" hidden="1">
      <c r="A1" s="97"/>
      <c r="B1" s="151" t="s">
        <v>65</v>
      </c>
      <c r="C1" s="152"/>
      <c r="D1" s="98"/>
      <c r="E1" s="98"/>
      <c r="F1" s="151" t="s">
        <v>65</v>
      </c>
      <c r="G1" s="152"/>
      <c r="H1" s="151" t="s">
        <v>65</v>
      </c>
      <c r="I1" s="153"/>
      <c r="J1" s="153"/>
      <c r="K1" s="152"/>
      <c r="L1" s="98"/>
      <c r="M1" s="111"/>
      <c r="N1" s="106" t="s">
        <v>79</v>
      </c>
      <c r="O1" s="151" t="s">
        <v>65</v>
      </c>
      <c r="P1" s="152"/>
      <c r="Q1" s="151" t="s">
        <v>65</v>
      </c>
      <c r="R1" s="152"/>
      <c r="S1" s="151" t="s">
        <v>65</v>
      </c>
      <c r="T1" s="152"/>
      <c r="U1" s="151" t="s">
        <v>65</v>
      </c>
      <c r="V1" s="152"/>
      <c r="W1" s="151" t="s">
        <v>65</v>
      </c>
      <c r="X1" s="152"/>
      <c r="Y1" s="97"/>
      <c r="Z1" s="97"/>
    </row>
    <row r="2" spans="1:26" ht="15" hidden="1">
      <c r="A2" s="139" t="s">
        <v>64</v>
      </c>
      <c r="B2" s="141" t="s">
        <v>66</v>
      </c>
      <c r="C2" s="142"/>
      <c r="D2" s="26"/>
      <c r="E2" s="26"/>
      <c r="F2" s="141" t="s">
        <v>62</v>
      </c>
      <c r="G2" s="142"/>
      <c r="H2" s="141" t="s">
        <v>61</v>
      </c>
      <c r="I2" s="145"/>
      <c r="J2" s="145"/>
      <c r="K2" s="142"/>
      <c r="L2" s="26"/>
      <c r="M2" s="103"/>
      <c r="N2" s="6"/>
      <c r="O2" s="141" t="s">
        <v>60</v>
      </c>
      <c r="P2" s="142"/>
      <c r="Q2" s="141" t="s">
        <v>59</v>
      </c>
      <c r="R2" s="142"/>
      <c r="S2" s="141" t="s">
        <v>58</v>
      </c>
      <c r="T2" s="142"/>
      <c r="U2" s="141" t="s">
        <v>57</v>
      </c>
      <c r="V2" s="142"/>
      <c r="W2" s="141" t="s">
        <v>56</v>
      </c>
      <c r="X2" s="142"/>
      <c r="Y2" s="136" t="s">
        <v>55</v>
      </c>
      <c r="Z2" s="136" t="s">
        <v>54</v>
      </c>
    </row>
    <row r="3" spans="1:26" ht="15" hidden="1">
      <c r="A3" s="139"/>
      <c r="B3" s="141"/>
      <c r="C3" s="142"/>
      <c r="D3" s="26"/>
      <c r="E3" s="26"/>
      <c r="F3" s="141"/>
      <c r="G3" s="142"/>
      <c r="H3" s="141"/>
      <c r="I3" s="145"/>
      <c r="J3" s="145"/>
      <c r="K3" s="142"/>
      <c r="L3" s="26"/>
      <c r="M3" s="103"/>
      <c r="N3" s="44">
        <v>0</v>
      </c>
      <c r="O3" s="141"/>
      <c r="P3" s="142"/>
      <c r="Q3" s="141"/>
      <c r="R3" s="142"/>
      <c r="S3" s="141"/>
      <c r="T3" s="142"/>
      <c r="U3" s="141"/>
      <c r="V3" s="142"/>
      <c r="W3" s="141"/>
      <c r="X3" s="142"/>
      <c r="Y3" s="136"/>
      <c r="Z3" s="136"/>
    </row>
    <row r="4" spans="1:26" ht="17.25" customHeight="1" hidden="1" thickBot="1">
      <c r="A4" s="140"/>
      <c r="B4" s="143"/>
      <c r="C4" s="144"/>
      <c r="D4" s="27"/>
      <c r="E4" s="27"/>
      <c r="F4" s="143"/>
      <c r="G4" s="144"/>
      <c r="H4" s="143"/>
      <c r="I4" s="146"/>
      <c r="J4" s="146"/>
      <c r="K4" s="144"/>
      <c r="L4" s="27"/>
      <c r="M4" s="103"/>
      <c r="N4" s="44">
        <v>0</v>
      </c>
      <c r="O4" s="143"/>
      <c r="P4" s="144"/>
      <c r="Q4" s="143"/>
      <c r="R4" s="144"/>
      <c r="S4" s="143"/>
      <c r="T4" s="144"/>
      <c r="U4" s="143"/>
      <c r="V4" s="144"/>
      <c r="W4" s="143"/>
      <c r="X4" s="144"/>
      <c r="Y4" s="137"/>
      <c r="Z4" s="137"/>
    </row>
    <row r="5" spans="1:26" ht="15" hidden="1">
      <c r="A5" s="2"/>
      <c r="B5" s="3" t="s">
        <v>52</v>
      </c>
      <c r="C5" s="2" t="s">
        <v>5</v>
      </c>
      <c r="D5" s="3"/>
      <c r="E5" s="3"/>
      <c r="F5" s="3" t="s">
        <v>52</v>
      </c>
      <c r="G5" s="2" t="s">
        <v>5</v>
      </c>
      <c r="H5" s="3" t="s">
        <v>52</v>
      </c>
      <c r="I5" s="104"/>
      <c r="J5" s="104"/>
      <c r="K5" s="2" t="s">
        <v>5</v>
      </c>
      <c r="L5" s="3"/>
      <c r="M5" s="104"/>
      <c r="N5" s="44">
        <v>371836</v>
      </c>
      <c r="O5" s="3" t="s">
        <v>52</v>
      </c>
      <c r="P5" s="2" t="s">
        <v>5</v>
      </c>
      <c r="Q5" s="3" t="s">
        <v>52</v>
      </c>
      <c r="R5" s="2" t="s">
        <v>5</v>
      </c>
      <c r="S5" s="3" t="s">
        <v>52</v>
      </c>
      <c r="T5" s="2" t="s">
        <v>5</v>
      </c>
      <c r="U5" s="3" t="s">
        <v>52</v>
      </c>
      <c r="V5" s="2" t="s">
        <v>5</v>
      </c>
      <c r="W5" s="3" t="s">
        <v>52</v>
      </c>
      <c r="X5" s="2" t="s">
        <v>5</v>
      </c>
      <c r="Y5" s="4"/>
      <c r="Z5" s="4"/>
    </row>
    <row r="6" spans="1:26" s="78" customFormat="1" ht="15.75" hidden="1" thickBot="1">
      <c r="A6" s="95" t="s">
        <v>6</v>
      </c>
      <c r="B6" s="86">
        <f>321103+90770</f>
        <v>411873</v>
      </c>
      <c r="C6" s="86">
        <v>136588.6913925526</v>
      </c>
      <c r="D6" s="86"/>
      <c r="E6" s="86"/>
      <c r="F6" s="86">
        <f>512833+90765</f>
        <v>603598</v>
      </c>
      <c r="G6" s="86">
        <v>200170.22312384198</v>
      </c>
      <c r="H6" s="86">
        <f>235648+90819</f>
        <v>326467</v>
      </c>
      <c r="I6" s="86"/>
      <c r="J6" s="86"/>
      <c r="K6" s="86">
        <v>108265.62705549809</v>
      </c>
      <c r="L6" s="86"/>
      <c r="M6" s="87"/>
      <c r="N6" s="44">
        <v>136152</v>
      </c>
      <c r="O6" s="86">
        <f>325350+90510</f>
        <v>415860</v>
      </c>
      <c r="P6" s="86">
        <v>127910.860929946</v>
      </c>
      <c r="Q6" s="86">
        <f>353132+90795</f>
        <v>443927</v>
      </c>
      <c r="R6" s="86">
        <v>147218.73184088376</v>
      </c>
      <c r="S6" s="86">
        <f>597347+90763</f>
        <v>688110</v>
      </c>
      <c r="T6" s="86">
        <v>228196.79545188957</v>
      </c>
      <c r="U6" s="86">
        <f>355434+90750</f>
        <v>446184</v>
      </c>
      <c r="V6" s="86">
        <v>147967.16394468292</v>
      </c>
      <c r="W6" s="86">
        <f>295049+90660</f>
        <v>385709</v>
      </c>
      <c r="X6" s="94">
        <v>77912</v>
      </c>
      <c r="Y6" s="86"/>
      <c r="Z6" s="86">
        <f aca="true" t="shared" si="0" ref="Z6:Z13">SUM(B6:X6)</f>
        <v>5032110.093739295</v>
      </c>
    </row>
    <row r="7" spans="1:26" s="78" customFormat="1" ht="15.75" hidden="1" thickBot="1">
      <c r="A7" s="90" t="s">
        <v>7</v>
      </c>
      <c r="B7" s="89">
        <v>18000</v>
      </c>
      <c r="C7" s="89">
        <v>5969.3071530931775</v>
      </c>
      <c r="D7" s="89"/>
      <c r="E7" s="89"/>
      <c r="F7" s="89">
        <v>87731</v>
      </c>
      <c r="G7" s="86">
        <v>29094.088855294052</v>
      </c>
      <c r="H7" s="89">
        <v>23879</v>
      </c>
      <c r="I7" s="87"/>
      <c r="J7" s="87"/>
      <c r="K7" s="86">
        <f>7918.9471170386+4000</f>
        <v>11918.947117038599</v>
      </c>
      <c r="L7" s="87"/>
      <c r="M7" s="87"/>
      <c r="N7" s="44">
        <v>24000</v>
      </c>
      <c r="O7" s="89">
        <v>12000</v>
      </c>
      <c r="P7" s="86">
        <v>3979.537178760517</v>
      </c>
      <c r="Q7" s="89">
        <v>10500</v>
      </c>
      <c r="R7" s="86">
        <v>3482.096570673285</v>
      </c>
      <c r="S7" s="89">
        <v>7000</v>
      </c>
      <c r="T7" s="86">
        <v>2321.3985673267753</v>
      </c>
      <c r="U7" s="89">
        <v>50000</v>
      </c>
      <c r="V7" s="86">
        <v>16581.40631944253</v>
      </c>
      <c r="W7" s="89">
        <v>26196</v>
      </c>
      <c r="X7" s="91">
        <v>13687</v>
      </c>
      <c r="Y7" s="87"/>
      <c r="Z7" s="86">
        <f t="shared" si="0"/>
        <v>346339.7817616289</v>
      </c>
    </row>
    <row r="8" spans="1:26" s="78" customFormat="1" ht="15.75" hidden="1" thickBot="1">
      <c r="A8" s="90" t="s">
        <v>8</v>
      </c>
      <c r="B8" s="89">
        <v>4000</v>
      </c>
      <c r="C8" s="89">
        <v>1326.512700687373</v>
      </c>
      <c r="D8" s="89"/>
      <c r="E8" s="89"/>
      <c r="F8" s="89">
        <v>4495</v>
      </c>
      <c r="G8" s="86">
        <v>1490.6695398952113</v>
      </c>
      <c r="H8" s="89">
        <v>35679</v>
      </c>
      <c r="I8" s="87"/>
      <c r="J8" s="87"/>
      <c r="K8" s="86">
        <v>11832.158557260354</v>
      </c>
      <c r="L8" s="87"/>
      <c r="M8" s="87"/>
      <c r="N8" s="107">
        <v>17980</v>
      </c>
      <c r="O8" s="89">
        <v>0</v>
      </c>
      <c r="P8" s="86">
        <v>10000</v>
      </c>
      <c r="Q8" s="89">
        <v>5000</v>
      </c>
      <c r="R8" s="86">
        <v>1658.1412241301355</v>
      </c>
      <c r="S8" s="89">
        <v>10000</v>
      </c>
      <c r="T8" s="86">
        <v>3316.283667609678</v>
      </c>
      <c r="U8" s="89">
        <v>7800</v>
      </c>
      <c r="V8" s="86">
        <v>2586.6993858330347</v>
      </c>
      <c r="W8" s="89">
        <v>59424</v>
      </c>
      <c r="X8" s="91">
        <v>14707</v>
      </c>
      <c r="Y8" s="87"/>
      <c r="Z8" s="86">
        <f t="shared" si="0"/>
        <v>191295.4650754158</v>
      </c>
    </row>
    <row r="9" spans="1:26" s="78" customFormat="1" ht="15.75" hidden="1" thickBot="1">
      <c r="A9" s="93" t="s">
        <v>9</v>
      </c>
      <c r="B9" s="89">
        <v>22000</v>
      </c>
      <c r="C9" s="89">
        <v>7295.819853780551</v>
      </c>
      <c r="D9" s="89"/>
      <c r="E9" s="89"/>
      <c r="F9" s="89">
        <v>42235</v>
      </c>
      <c r="G9" s="86">
        <v>14006.32436428793</v>
      </c>
      <c r="H9" s="89">
        <v>6473</v>
      </c>
      <c r="I9" s="87"/>
      <c r="J9" s="87"/>
      <c r="K9" s="86">
        <v>2146.6286146233433</v>
      </c>
      <c r="L9" s="87"/>
      <c r="M9" s="87"/>
      <c r="N9" s="107">
        <v>4315</v>
      </c>
      <c r="O9" s="89">
        <v>13768</v>
      </c>
      <c r="P9" s="86">
        <v>4565.855656431232</v>
      </c>
      <c r="Q9" s="89">
        <v>6800</v>
      </c>
      <c r="R9" s="86">
        <v>2255.0720648169845</v>
      </c>
      <c r="S9" s="89">
        <v>42800</v>
      </c>
      <c r="T9" s="86">
        <v>14193.694097369424</v>
      </c>
      <c r="U9" s="89">
        <v>70200</v>
      </c>
      <c r="V9" s="86">
        <v>23280.294472497313</v>
      </c>
      <c r="W9" s="89">
        <v>5819</v>
      </c>
      <c r="X9" s="91">
        <v>1930</v>
      </c>
      <c r="Y9" s="87"/>
      <c r="Z9" s="86">
        <f t="shared" si="0"/>
        <v>284083.6891238068</v>
      </c>
    </row>
    <row r="10" spans="1:26" s="78" customFormat="1" ht="15.75" hidden="1" thickBot="1">
      <c r="A10" s="90" t="s">
        <v>51</v>
      </c>
      <c r="B10" s="89">
        <f>411222+22692</f>
        <v>433914</v>
      </c>
      <c r="C10" s="89">
        <v>143898.10800151518</v>
      </c>
      <c r="D10" s="89"/>
      <c r="E10" s="89"/>
      <c r="F10" s="89">
        <f>128985+22691+1</f>
        <v>151677</v>
      </c>
      <c r="G10" s="86">
        <v>50300.39684153191</v>
      </c>
      <c r="H10" s="89">
        <f>475058+22705+1</f>
        <v>497764</v>
      </c>
      <c r="I10" s="87"/>
      <c r="J10" s="87"/>
      <c r="K10" s="86">
        <v>165072.52367208002</v>
      </c>
      <c r="L10" s="87"/>
      <c r="M10" s="87"/>
      <c r="N10" s="107">
        <v>0</v>
      </c>
      <c r="O10" s="89">
        <f>422978+22627</f>
        <v>445605</v>
      </c>
      <c r="P10" s="86">
        <v>147775.13871179835</v>
      </c>
      <c r="Q10" s="89">
        <f>401101+22699</f>
        <v>423800</v>
      </c>
      <c r="R10" s="86">
        <v>140544.05015727028</v>
      </c>
      <c r="S10" s="89">
        <f>119121+22691</f>
        <v>141812</v>
      </c>
      <c r="T10" s="86">
        <v>47028.88194710637</v>
      </c>
      <c r="U10" s="89">
        <f>292718+22687</f>
        <v>315405</v>
      </c>
      <c r="V10" s="86">
        <v>104597.16920367544</v>
      </c>
      <c r="W10" s="89">
        <f>388895+22665</f>
        <v>411560</v>
      </c>
      <c r="X10" s="91">
        <f>X11+X12</f>
        <v>186485</v>
      </c>
      <c r="Y10" s="87"/>
      <c r="Z10" s="86">
        <f t="shared" si="0"/>
        <v>3807238.2685349775</v>
      </c>
    </row>
    <row r="11" spans="1:26" s="78" customFormat="1" ht="15.75" hidden="1" thickBot="1">
      <c r="A11" s="92" t="s">
        <v>11</v>
      </c>
      <c r="B11" s="89">
        <f>B10*0.07</f>
        <v>30373.980000000003</v>
      </c>
      <c r="C11" s="89">
        <v>10072.867560106064</v>
      </c>
      <c r="D11" s="89"/>
      <c r="E11" s="89"/>
      <c r="F11" s="89">
        <f>F10*0.07</f>
        <v>10617.390000000001</v>
      </c>
      <c r="G11" s="86">
        <v>3521.0277789072347</v>
      </c>
      <c r="H11" s="89">
        <f>H10*0.07</f>
        <v>34843.48</v>
      </c>
      <c r="I11" s="87"/>
      <c r="J11" s="87"/>
      <c r="K11" s="86">
        <v>11555.076657045603</v>
      </c>
      <c r="L11" s="87"/>
      <c r="M11" s="87"/>
      <c r="N11" s="107">
        <v>185176</v>
      </c>
      <c r="O11" s="89">
        <f>O10*0.07</f>
        <v>31192.350000000002</v>
      </c>
      <c r="P11" s="86">
        <v>10344.259709825883</v>
      </c>
      <c r="Q11" s="89">
        <f>Q10*0.07</f>
        <v>29666.000000000004</v>
      </c>
      <c r="R11" s="86">
        <v>9838.083511008921</v>
      </c>
      <c r="S11" s="89">
        <f>S10*0.07</f>
        <v>9926.84</v>
      </c>
      <c r="T11" s="86">
        <v>3292.0217362974463</v>
      </c>
      <c r="U11" s="89">
        <f>U10*0.07</f>
        <v>22078.350000000002</v>
      </c>
      <c r="V11" s="86">
        <v>7321.801844257281</v>
      </c>
      <c r="W11" s="89">
        <f>W10*0.07</f>
        <v>28809.200000000004</v>
      </c>
      <c r="X11" s="91">
        <v>9554</v>
      </c>
      <c r="Y11" s="87"/>
      <c r="Z11" s="86">
        <f t="shared" si="0"/>
        <v>448182.72879744845</v>
      </c>
    </row>
    <row r="12" spans="1:26" s="78" customFormat="1" ht="15.75" hidden="1" thickBot="1">
      <c r="A12" s="92" t="s">
        <v>12</v>
      </c>
      <c r="B12" s="89">
        <f>B10-B11</f>
        <v>403540.02</v>
      </c>
      <c r="C12" s="89">
        <v>133825.2404414091</v>
      </c>
      <c r="D12" s="89"/>
      <c r="E12" s="89"/>
      <c r="F12" s="89">
        <f>F10-F11</f>
        <v>141059.61</v>
      </c>
      <c r="G12" s="86">
        <v>46779.369062624675</v>
      </c>
      <c r="H12" s="89">
        <f>H10-H11</f>
        <v>462920.52</v>
      </c>
      <c r="I12" s="87"/>
      <c r="J12" s="87"/>
      <c r="K12" s="86">
        <f>153517.447015034-4000</f>
        <v>149517.447015034</v>
      </c>
      <c r="L12" s="87"/>
      <c r="M12" s="87"/>
      <c r="N12" s="11">
        <v>12962.320000000002</v>
      </c>
      <c r="O12" s="89">
        <f>O10-O11</f>
        <v>414412.65</v>
      </c>
      <c r="P12" s="86">
        <v>137430.87900197244</v>
      </c>
      <c r="Q12" s="89">
        <f>Q10-Q11</f>
        <v>394134</v>
      </c>
      <c r="R12" s="86">
        <v>130705.96664626135</v>
      </c>
      <c r="S12" s="89">
        <f>S10-S11</f>
        <v>131885.16</v>
      </c>
      <c r="T12" s="86">
        <v>43736.86021080892</v>
      </c>
      <c r="U12" s="89">
        <f>U10-U11</f>
        <v>293326.65</v>
      </c>
      <c r="V12" s="86">
        <v>97275.36735941816</v>
      </c>
      <c r="W12" s="89">
        <f>W10-W11</f>
        <v>382750.8</v>
      </c>
      <c r="X12" s="91">
        <v>176931</v>
      </c>
      <c r="Y12" s="87"/>
      <c r="Z12" s="86">
        <f t="shared" si="0"/>
        <v>3553193.8597375285</v>
      </c>
    </row>
    <row r="13" spans="1:26" s="78" customFormat="1" ht="15.75" hidden="1" thickBot="1">
      <c r="A13" s="90" t="s">
        <v>50</v>
      </c>
      <c r="B13" s="89">
        <v>0</v>
      </c>
      <c r="C13" s="89">
        <v>0</v>
      </c>
      <c r="D13" s="89"/>
      <c r="E13" s="89"/>
      <c r="F13" s="89">
        <v>0</v>
      </c>
      <c r="G13" s="86">
        <v>0</v>
      </c>
      <c r="H13" s="89">
        <v>0</v>
      </c>
      <c r="I13" s="87"/>
      <c r="J13" s="87"/>
      <c r="K13" s="86">
        <v>0</v>
      </c>
      <c r="L13" s="87"/>
      <c r="M13" s="87"/>
      <c r="N13" s="11">
        <v>172213.68</v>
      </c>
      <c r="O13" s="89"/>
      <c r="P13" s="86">
        <v>0</v>
      </c>
      <c r="Q13" s="89"/>
      <c r="R13" s="86">
        <v>0</v>
      </c>
      <c r="S13" s="89">
        <v>0</v>
      </c>
      <c r="T13" s="86">
        <v>0</v>
      </c>
      <c r="U13" s="89">
        <v>0</v>
      </c>
      <c r="V13" s="86">
        <v>0</v>
      </c>
      <c r="W13" s="89"/>
      <c r="X13" s="88">
        <v>0</v>
      </c>
      <c r="Y13" s="87"/>
      <c r="Z13" s="86">
        <f t="shared" si="0"/>
        <v>172213.68</v>
      </c>
    </row>
    <row r="14" spans="1:26" s="78" customFormat="1" ht="15.75" hidden="1" thickBot="1">
      <c r="A14" s="85" t="s">
        <v>46</v>
      </c>
      <c r="B14" s="84">
        <f>SUM(B6:B10)+B13</f>
        <v>889787</v>
      </c>
      <c r="C14" s="84">
        <f>SUM(C6:C10)+C13</f>
        <v>295078.4391016289</v>
      </c>
      <c r="D14" s="84"/>
      <c r="E14" s="84"/>
      <c r="F14" s="84">
        <f aca="true" t="shared" si="1" ref="F14:X14">SUM(F6:F10)+F13</f>
        <v>889736</v>
      </c>
      <c r="G14" s="84">
        <f t="shared" si="1"/>
        <v>295061.7027248511</v>
      </c>
      <c r="H14" s="84">
        <f t="shared" si="1"/>
        <v>890262</v>
      </c>
      <c r="I14" s="84"/>
      <c r="J14" s="84"/>
      <c r="K14" s="84">
        <f t="shared" si="1"/>
        <v>299235.88501650037</v>
      </c>
      <c r="L14" s="84"/>
      <c r="M14" s="112"/>
      <c r="N14" s="107">
        <v>0</v>
      </c>
      <c r="O14" s="84">
        <f t="shared" si="1"/>
        <v>887233</v>
      </c>
      <c r="P14" s="84">
        <f t="shared" si="1"/>
        <v>294231.3924769361</v>
      </c>
      <c r="Q14" s="84">
        <f t="shared" si="1"/>
        <v>890027</v>
      </c>
      <c r="R14" s="84">
        <f t="shared" si="1"/>
        <v>295158.0918577744</v>
      </c>
      <c r="S14" s="84">
        <f t="shared" si="1"/>
        <v>889722</v>
      </c>
      <c r="T14" s="84">
        <f t="shared" si="1"/>
        <v>295057.0537313018</v>
      </c>
      <c r="U14" s="84">
        <f t="shared" si="1"/>
        <v>889589</v>
      </c>
      <c r="V14" s="84">
        <f t="shared" si="1"/>
        <v>295012.73332613125</v>
      </c>
      <c r="W14" s="84">
        <f t="shared" si="1"/>
        <v>888708</v>
      </c>
      <c r="X14" s="84">
        <f t="shared" si="1"/>
        <v>294721</v>
      </c>
      <c r="Y14" s="83">
        <f>SUM(B14,F14,H14,O14,Q14,S14,U14,W14)</f>
        <v>7115064</v>
      </c>
      <c r="Z14" s="82">
        <f>SUM(B14:Y14)</f>
        <v>16593684.298235124</v>
      </c>
    </row>
    <row r="15" spans="1:26" ht="26.25" hidden="1" thickBot="1">
      <c r="A15" s="17" t="s">
        <v>45</v>
      </c>
      <c r="B15" s="66">
        <f>ROUND(B14*0.07,0)</f>
        <v>62285</v>
      </c>
      <c r="C15" s="66">
        <f>ROUND(C14*0.07,0)</f>
        <v>20655</v>
      </c>
      <c r="D15" s="66"/>
      <c r="E15" s="66"/>
      <c r="F15" s="66">
        <f aca="true" t="shared" si="2" ref="F15:X15">ROUND(F14*0.07,0)</f>
        <v>62282</v>
      </c>
      <c r="G15" s="66">
        <f t="shared" si="2"/>
        <v>20654</v>
      </c>
      <c r="H15" s="66">
        <f t="shared" si="2"/>
        <v>62318</v>
      </c>
      <c r="I15" s="66"/>
      <c r="J15" s="66"/>
      <c r="K15" s="66">
        <f t="shared" si="2"/>
        <v>20947</v>
      </c>
      <c r="L15" s="66"/>
      <c r="M15" s="113"/>
      <c r="N15" s="107"/>
      <c r="O15" s="66">
        <f t="shared" si="2"/>
        <v>62106</v>
      </c>
      <c r="P15" s="66">
        <f t="shared" si="2"/>
        <v>20596</v>
      </c>
      <c r="Q15" s="66">
        <f t="shared" si="2"/>
        <v>62302</v>
      </c>
      <c r="R15" s="66">
        <f t="shared" si="2"/>
        <v>20661</v>
      </c>
      <c r="S15" s="66">
        <f t="shared" si="2"/>
        <v>62281</v>
      </c>
      <c r="T15" s="66">
        <f t="shared" si="2"/>
        <v>20654</v>
      </c>
      <c r="U15" s="66">
        <f t="shared" si="2"/>
        <v>62271</v>
      </c>
      <c r="V15" s="66">
        <f t="shared" si="2"/>
        <v>20651</v>
      </c>
      <c r="W15" s="66">
        <f t="shared" si="2"/>
        <v>62210</v>
      </c>
      <c r="X15" s="66">
        <f t="shared" si="2"/>
        <v>20630</v>
      </c>
      <c r="Y15" s="65"/>
      <c r="Z15" s="64">
        <f>SUM(B15:X15)</f>
        <v>663503</v>
      </c>
    </row>
    <row r="16" spans="1:26" s="78" customFormat="1" ht="25.5" hidden="1">
      <c r="A16" s="81" t="s">
        <v>49</v>
      </c>
      <c r="B16" s="80">
        <f>SUM(B14:B15)</f>
        <v>952072</v>
      </c>
      <c r="C16" s="80">
        <f>SUM(C14:C15)</f>
        <v>315733.4391016289</v>
      </c>
      <c r="D16" s="80"/>
      <c r="E16" s="80"/>
      <c r="F16" s="80">
        <f aca="true" t="shared" si="3" ref="F16:X16">SUM(F14:F15)</f>
        <v>952018</v>
      </c>
      <c r="G16" s="80">
        <f t="shared" si="3"/>
        <v>315715.7027248511</v>
      </c>
      <c r="H16" s="80">
        <f t="shared" si="3"/>
        <v>952580</v>
      </c>
      <c r="I16" s="80"/>
      <c r="J16" s="80"/>
      <c r="K16" s="80">
        <f t="shared" si="3"/>
        <v>320182.88501650037</v>
      </c>
      <c r="L16" s="80"/>
      <c r="M16" s="80"/>
      <c r="N16" s="108">
        <v>739459</v>
      </c>
      <c r="O16" s="80">
        <f t="shared" si="3"/>
        <v>949339</v>
      </c>
      <c r="P16" s="80">
        <f t="shared" si="3"/>
        <v>314827.3924769361</v>
      </c>
      <c r="Q16" s="80">
        <f t="shared" si="3"/>
        <v>952329</v>
      </c>
      <c r="R16" s="80">
        <f t="shared" si="3"/>
        <v>315819.0918577744</v>
      </c>
      <c r="S16" s="80">
        <f t="shared" si="3"/>
        <v>952003</v>
      </c>
      <c r="T16" s="80">
        <f t="shared" si="3"/>
        <v>315711.0537313018</v>
      </c>
      <c r="U16" s="80">
        <f t="shared" si="3"/>
        <v>951860</v>
      </c>
      <c r="V16" s="80">
        <f t="shared" si="3"/>
        <v>315663.73332613125</v>
      </c>
      <c r="W16" s="80">
        <f t="shared" si="3"/>
        <v>950918</v>
      </c>
      <c r="X16" s="80">
        <f t="shared" si="3"/>
        <v>315351</v>
      </c>
      <c r="Y16" s="80">
        <f>SUM(B16,F16,H16,O16,Q16,S16,U16,W16)</f>
        <v>7613119</v>
      </c>
      <c r="Z16" s="79">
        <f>SUM(Z14:Z15)</f>
        <v>17257187.298235126</v>
      </c>
    </row>
    <row r="17" spans="1:26" ht="15.75" customHeight="1" hidden="1">
      <c r="A17" s="6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14"/>
      <c r="N17" s="41">
        <v>51762</v>
      </c>
      <c r="O17" s="59"/>
      <c r="P17" s="59"/>
      <c r="Q17" s="59"/>
      <c r="R17" s="59"/>
      <c r="S17" s="59"/>
      <c r="T17" s="59"/>
      <c r="U17" s="59"/>
      <c r="V17" s="59"/>
      <c r="W17" s="60"/>
      <c r="X17" s="59"/>
      <c r="Y17" s="59"/>
      <c r="Z17" s="59"/>
    </row>
    <row r="18" spans="1:26" ht="15.75" hidden="1" thickBot="1">
      <c r="A18" s="22" t="s">
        <v>5</v>
      </c>
      <c r="B18" s="22"/>
      <c r="C18" s="58">
        <f>'[1]1st Instalment (Calculations)'!C52</f>
        <v>329389.51424460433</v>
      </c>
      <c r="D18" s="58"/>
      <c r="E18" s="58"/>
      <c r="F18" s="22"/>
      <c r="G18" s="58">
        <f>'[1]1st Instalment (Calculations)'!E52</f>
        <v>329370.83179856115</v>
      </c>
      <c r="H18" s="58"/>
      <c r="I18" s="58"/>
      <c r="J18" s="58"/>
      <c r="K18" s="58">
        <f>'[1]1st Instalment (Calculations)'!G52</f>
        <v>329565.2676258993</v>
      </c>
      <c r="L18" s="58"/>
      <c r="M18" s="115"/>
      <c r="N18" s="110">
        <v>791221</v>
      </c>
      <c r="O18" s="58"/>
      <c r="P18" s="58">
        <f>'[1]1st Instalment (Calculations)'!I52</f>
        <v>328443.97489208635</v>
      </c>
      <c r="Q18" s="58"/>
      <c r="R18" s="58">
        <f>'[1]1st Instalment (Calculations)'!K52</f>
        <v>329478.42884892086</v>
      </c>
      <c r="S18" s="58"/>
      <c r="T18" s="58">
        <f>'[1]1st Instalment (Calculations)'!M52</f>
        <v>329365.6422302159</v>
      </c>
      <c r="U18" s="58"/>
      <c r="V18" s="58">
        <f>'[1]1st Instalment (Calculations)'!O52</f>
        <v>329316.16834532376</v>
      </c>
      <c r="W18" s="58"/>
      <c r="X18" s="58">
        <f>'[1]1st Instalment (Calculations)'!Q52</f>
        <v>328990.2634532374</v>
      </c>
      <c r="Y18" s="57"/>
      <c r="Z18" s="57"/>
    </row>
    <row r="19" ht="15" hidden="1"/>
    <row r="20" ht="15" hidden="1"/>
    <row r="21" spans="2:23" ht="15.75" customHeight="1" hidden="1" thickBot="1">
      <c r="B21" s="156" t="s">
        <v>65</v>
      </c>
      <c r="C21" s="157"/>
      <c r="D21" s="157"/>
      <c r="E21" s="158"/>
      <c r="F21" s="147" t="s">
        <v>65</v>
      </c>
      <c r="G21" s="148"/>
      <c r="H21" s="147" t="s">
        <v>65</v>
      </c>
      <c r="I21" s="155"/>
      <c r="J21" s="155"/>
      <c r="K21" s="148"/>
      <c r="L21" s="75"/>
      <c r="M21" s="75"/>
      <c r="N21" s="147" t="s">
        <v>65</v>
      </c>
      <c r="O21" s="148"/>
      <c r="P21" s="147" t="s">
        <v>65</v>
      </c>
      <c r="Q21" s="148"/>
      <c r="R21" s="147" t="s">
        <v>65</v>
      </c>
      <c r="S21" s="148"/>
      <c r="T21" s="147" t="s">
        <v>65</v>
      </c>
      <c r="U21" s="148"/>
      <c r="V21" s="147" t="s">
        <v>65</v>
      </c>
      <c r="W21" s="148"/>
    </row>
    <row r="22" spans="1:25" ht="15" customHeight="1" hidden="1">
      <c r="A22" s="138" t="s">
        <v>64</v>
      </c>
      <c r="B22" s="149" t="s">
        <v>63</v>
      </c>
      <c r="C22" s="159"/>
      <c r="D22" s="159"/>
      <c r="E22" s="160"/>
      <c r="F22" s="149" t="s">
        <v>62</v>
      </c>
      <c r="G22" s="150"/>
      <c r="H22" s="149" t="s">
        <v>61</v>
      </c>
      <c r="I22" s="154"/>
      <c r="J22" s="154"/>
      <c r="K22" s="150"/>
      <c r="L22" s="25"/>
      <c r="M22" s="101"/>
      <c r="N22" s="149" t="s">
        <v>60</v>
      </c>
      <c r="O22" s="150"/>
      <c r="P22" s="149" t="s">
        <v>59</v>
      </c>
      <c r="Q22" s="150"/>
      <c r="R22" s="149" t="s">
        <v>58</v>
      </c>
      <c r="S22" s="150"/>
      <c r="T22" s="149" t="s">
        <v>57</v>
      </c>
      <c r="U22" s="150"/>
      <c r="V22" s="149" t="s">
        <v>56</v>
      </c>
      <c r="W22" s="150"/>
      <c r="X22" s="135" t="s">
        <v>55</v>
      </c>
      <c r="Y22" s="135" t="s">
        <v>54</v>
      </c>
    </row>
    <row r="23" spans="1:25" ht="15.75" customHeight="1" hidden="1">
      <c r="A23" s="139"/>
      <c r="B23" s="161"/>
      <c r="C23" s="162"/>
      <c r="D23" s="162"/>
      <c r="E23" s="163"/>
      <c r="F23" s="141"/>
      <c r="G23" s="142"/>
      <c r="H23" s="141"/>
      <c r="I23" s="145"/>
      <c r="J23" s="145"/>
      <c r="K23" s="142"/>
      <c r="L23" s="26"/>
      <c r="M23" s="103"/>
      <c r="N23" s="141"/>
      <c r="O23" s="142"/>
      <c r="P23" s="141"/>
      <c r="Q23" s="142"/>
      <c r="R23" s="141"/>
      <c r="S23" s="142"/>
      <c r="T23" s="141"/>
      <c r="U23" s="142"/>
      <c r="V23" s="141"/>
      <c r="W23" s="142"/>
      <c r="X23" s="136"/>
      <c r="Y23" s="136"/>
    </row>
    <row r="24" spans="1:25" ht="15.75" hidden="1" thickBot="1">
      <c r="A24" s="140"/>
      <c r="B24" s="164"/>
      <c r="C24" s="165"/>
      <c r="D24" s="165"/>
      <c r="E24" s="166"/>
      <c r="F24" s="143"/>
      <c r="G24" s="144"/>
      <c r="H24" s="143"/>
      <c r="I24" s="146"/>
      <c r="J24" s="146"/>
      <c r="K24" s="144"/>
      <c r="L24" s="27"/>
      <c r="M24" s="105"/>
      <c r="N24" s="143"/>
      <c r="O24" s="144"/>
      <c r="P24" s="143"/>
      <c r="Q24" s="144"/>
      <c r="R24" s="143"/>
      <c r="S24" s="144"/>
      <c r="T24" s="143"/>
      <c r="U24" s="144"/>
      <c r="V24" s="143"/>
      <c r="W24" s="144"/>
      <c r="X24" s="137"/>
      <c r="Y24" s="137"/>
    </row>
    <row r="25" spans="1:25" ht="15.75" customHeight="1" hidden="1" thickBot="1">
      <c r="A25" s="2"/>
      <c r="B25" s="3" t="s">
        <v>52</v>
      </c>
      <c r="C25" s="2" t="s">
        <v>5</v>
      </c>
      <c r="D25" s="3" t="s">
        <v>21</v>
      </c>
      <c r="E25" s="3" t="s">
        <v>24</v>
      </c>
      <c r="F25" s="3" t="s">
        <v>52</v>
      </c>
      <c r="G25" s="2" t="s">
        <v>5</v>
      </c>
      <c r="H25" s="3" t="s">
        <v>52</v>
      </c>
      <c r="I25" s="104"/>
      <c r="J25" s="104"/>
      <c r="K25" s="2" t="s">
        <v>5</v>
      </c>
      <c r="L25" s="3"/>
      <c r="M25" s="104"/>
      <c r="N25" s="3" t="s">
        <v>52</v>
      </c>
      <c r="O25" s="2" t="s">
        <v>5</v>
      </c>
      <c r="P25" s="3" t="s">
        <v>52</v>
      </c>
      <c r="Q25" s="2" t="s">
        <v>5</v>
      </c>
      <c r="R25" s="3" t="s">
        <v>52</v>
      </c>
      <c r="S25" s="2" t="s">
        <v>5</v>
      </c>
      <c r="T25" s="3" t="s">
        <v>52</v>
      </c>
      <c r="U25" s="2" t="s">
        <v>5</v>
      </c>
      <c r="V25" s="3" t="s">
        <v>52</v>
      </c>
      <c r="W25" s="2" t="s">
        <v>5</v>
      </c>
      <c r="X25" s="4"/>
      <c r="Y25" s="4"/>
    </row>
    <row r="26" spans="1:25" ht="15" hidden="1">
      <c r="A26" s="74" t="s">
        <v>6</v>
      </c>
      <c r="B26" s="70">
        <f>321103+90770</f>
        <v>411873</v>
      </c>
      <c r="C26" s="70">
        <f>($B26/$B$34*C$38)/1.07</f>
        <v>142496.19206930845</v>
      </c>
      <c r="D26" s="70">
        <f>($B26/$B$34*D$38)/1.07</f>
        <v>106538.7936338529</v>
      </c>
      <c r="E26" s="70">
        <f>($B26/$B$34*E$38)/1.07</f>
        <v>106538.7936338529</v>
      </c>
      <c r="F26" s="70">
        <f>512833+90765</f>
        <v>603598</v>
      </c>
      <c r="G26" s="70">
        <f aca="true" t="shared" si="4" ref="G26:G33">(F26/F$34*G$38)/1.07</f>
        <v>208827.64356263936</v>
      </c>
      <c r="H26" s="70">
        <f>235648+90819</f>
        <v>326467</v>
      </c>
      <c r="I26" s="70"/>
      <c r="J26" s="70"/>
      <c r="K26" s="70">
        <f>(H26/H$34*K$38)/1.07-4000</f>
        <v>108948.14695212423</v>
      </c>
      <c r="L26" s="70"/>
      <c r="M26" s="70"/>
      <c r="N26" s="70">
        <f>325350+90510</f>
        <v>415860</v>
      </c>
      <c r="O26" s="70">
        <f>(N26/N$34*O$38)/1.07-10000</f>
        <v>133875.5458242038</v>
      </c>
      <c r="P26" s="70">
        <f>353132+90795</f>
        <v>443927</v>
      </c>
      <c r="Q26" s="70">
        <f aca="true" t="shared" si="5" ref="Q26:Q33">(P26/P$34*Q$38)/1.07</f>
        <v>153585.98486245112</v>
      </c>
      <c r="R26" s="70">
        <f>597347+90763</f>
        <v>688110</v>
      </c>
      <c r="S26" s="70">
        <f aca="true" t="shared" si="6" ref="S26:S33">(R26/R$34*S$38)/1.07</f>
        <v>238066.37330508998</v>
      </c>
      <c r="T26" s="70">
        <f>355434+90750</f>
        <v>446184</v>
      </c>
      <c r="U26" s="70">
        <f aca="true" t="shared" si="7" ref="U26:U33">(T26/T$34*U$38)/1.07</f>
        <v>154366.78687267972</v>
      </c>
      <c r="V26" s="70">
        <f>295049+90660</f>
        <v>385709</v>
      </c>
      <c r="W26" s="70">
        <f>(V26/V$34*W$38)/1.07-55000</f>
        <v>78444.27620653546</v>
      </c>
      <c r="X26" s="70"/>
      <c r="Y26" s="70">
        <f aca="true" t="shared" si="8" ref="Y26:Y33">SUM(B26:W26)</f>
        <v>5153416.536922737</v>
      </c>
    </row>
    <row r="27" spans="1:25" ht="15.75" customHeight="1" hidden="1">
      <c r="A27" s="71" t="s">
        <v>7</v>
      </c>
      <c r="B27" s="70">
        <v>18000</v>
      </c>
      <c r="C27" s="70">
        <f aca="true" t="shared" si="9" ref="C27:C33">(B27/B$34*C$38)/1.07</f>
        <v>6227.481425700523</v>
      </c>
      <c r="D27" s="70">
        <f aca="true" t="shared" si="10" ref="D27:E33">($B27/$B$34*D$38)/1.07</f>
        <v>4656.042725328808</v>
      </c>
      <c r="E27" s="70">
        <f t="shared" si="10"/>
        <v>4656.042725328808</v>
      </c>
      <c r="F27" s="70">
        <v>87731</v>
      </c>
      <c r="G27" s="70">
        <f t="shared" si="4"/>
        <v>30352.416670356615</v>
      </c>
      <c r="H27" s="70">
        <v>23879</v>
      </c>
      <c r="I27" s="70"/>
      <c r="J27" s="70"/>
      <c r="K27" s="70">
        <f>(H27/H$34*K$38)/1.07+4000</f>
        <v>12261.443885813189</v>
      </c>
      <c r="L27" s="70"/>
      <c r="M27" s="70"/>
      <c r="N27" s="70">
        <v>12000</v>
      </c>
      <c r="O27" s="70">
        <f>(N27/N$34*O$38)/1.07</f>
        <v>4151.653320565685</v>
      </c>
      <c r="P27" s="70">
        <v>10500</v>
      </c>
      <c r="Q27" s="70">
        <f t="shared" si="5"/>
        <v>3632.698261326157</v>
      </c>
      <c r="R27" s="70">
        <v>7000</v>
      </c>
      <c r="S27" s="70">
        <f t="shared" si="6"/>
        <v>2421.7997313447413</v>
      </c>
      <c r="T27" s="70">
        <v>50000</v>
      </c>
      <c r="U27" s="70">
        <f t="shared" si="7"/>
        <v>17298.556971191232</v>
      </c>
      <c r="V27" s="70">
        <v>26196</v>
      </c>
      <c r="W27" s="70">
        <f>(V27/V$34*W$38)/1.07+5000</f>
        <v>14063.066351851792</v>
      </c>
      <c r="X27" s="70"/>
      <c r="Y27" s="70">
        <f t="shared" si="8"/>
        <v>335027.20206880756</v>
      </c>
    </row>
    <row r="28" spans="1:25" ht="15" hidden="1">
      <c r="A28" s="71" t="s">
        <v>8</v>
      </c>
      <c r="B28" s="70">
        <v>4000</v>
      </c>
      <c r="C28" s="70">
        <f t="shared" si="9"/>
        <v>1383.884761266783</v>
      </c>
      <c r="D28" s="70">
        <f t="shared" si="10"/>
        <v>1034.6761611841794</v>
      </c>
      <c r="E28" s="70">
        <f t="shared" si="10"/>
        <v>1034.6761611841794</v>
      </c>
      <c r="F28" s="70">
        <v>4495</v>
      </c>
      <c r="G28" s="70">
        <f t="shared" si="4"/>
        <v>1555.1414315721127</v>
      </c>
      <c r="H28" s="70">
        <v>35679</v>
      </c>
      <c r="I28" s="70"/>
      <c r="J28" s="70"/>
      <c r="K28" s="70">
        <f aca="true" t="shared" si="11" ref="K28:K33">(H28/H$34*K$38)/1.07</f>
        <v>12343.902860334552</v>
      </c>
      <c r="L28" s="70"/>
      <c r="M28" s="70"/>
      <c r="N28" s="70">
        <v>0</v>
      </c>
      <c r="O28" s="70">
        <v>10000</v>
      </c>
      <c r="P28" s="70">
        <v>5000</v>
      </c>
      <c r="Q28" s="70">
        <f t="shared" si="5"/>
        <v>1729.8563149172176</v>
      </c>
      <c r="R28" s="70">
        <v>10000</v>
      </c>
      <c r="S28" s="70">
        <f t="shared" si="6"/>
        <v>3459.7139019210586</v>
      </c>
      <c r="T28" s="70">
        <v>7800</v>
      </c>
      <c r="U28" s="70">
        <f t="shared" si="7"/>
        <v>2698.574887505832</v>
      </c>
      <c r="V28" s="70">
        <v>59424</v>
      </c>
      <c r="W28" s="70">
        <f>(V28/V$34*W$38)/1.07-2000</f>
        <v>18559.003469706862</v>
      </c>
      <c r="X28" s="70"/>
      <c r="Y28" s="70">
        <f t="shared" si="8"/>
        <v>180197.42994959277</v>
      </c>
    </row>
    <row r="29" spans="1:25" ht="15.75" customHeight="1" hidden="1">
      <c r="A29" s="73" t="s">
        <v>9</v>
      </c>
      <c r="B29" s="70">
        <v>22000</v>
      </c>
      <c r="C29" s="70">
        <f t="shared" si="9"/>
        <v>7611.366186967307</v>
      </c>
      <c r="D29" s="70">
        <f t="shared" si="10"/>
        <v>5690.718886512987</v>
      </c>
      <c r="E29" s="70">
        <f t="shared" si="10"/>
        <v>5690.718886512987</v>
      </c>
      <c r="F29" s="70">
        <v>42235</v>
      </c>
      <c r="G29" s="70">
        <f t="shared" si="4"/>
        <v>14612.10197162362</v>
      </c>
      <c r="H29" s="70">
        <v>6473</v>
      </c>
      <c r="I29" s="70"/>
      <c r="J29" s="70"/>
      <c r="K29" s="70">
        <f t="shared" si="11"/>
        <v>2239.4709272946425</v>
      </c>
      <c r="L29" s="70"/>
      <c r="M29" s="70"/>
      <c r="N29" s="70">
        <v>13768</v>
      </c>
      <c r="O29" s="70">
        <f>(N29/N$34*O$38)/1.07</f>
        <v>4763.3302431290285</v>
      </c>
      <c r="P29" s="70">
        <v>6800</v>
      </c>
      <c r="Q29" s="70">
        <f t="shared" si="5"/>
        <v>2352.604588287416</v>
      </c>
      <c r="R29" s="70">
        <v>42800</v>
      </c>
      <c r="S29" s="70">
        <f t="shared" si="6"/>
        <v>14807.575500222132</v>
      </c>
      <c r="T29" s="70">
        <v>70200</v>
      </c>
      <c r="U29" s="70">
        <f t="shared" si="7"/>
        <v>24287.173987552487</v>
      </c>
      <c r="V29" s="70">
        <v>5819</v>
      </c>
      <c r="W29" s="70">
        <f>(V29/V$34*W$38)/1.07</f>
        <v>2013.2074782953723</v>
      </c>
      <c r="X29" s="70"/>
      <c r="Y29" s="70">
        <f t="shared" si="8"/>
        <v>294163.268656398</v>
      </c>
    </row>
    <row r="30" spans="1:25" ht="15" hidden="1">
      <c r="A30" s="71" t="s">
        <v>51</v>
      </c>
      <c r="B30" s="70">
        <f>411222+22692</f>
        <v>433914</v>
      </c>
      <c r="C30" s="70">
        <f t="shared" si="9"/>
        <v>150121.74307507873</v>
      </c>
      <c r="D30" s="70">
        <f t="shared" si="10"/>
        <v>112240.11795101802</v>
      </c>
      <c r="E30" s="70">
        <f t="shared" si="10"/>
        <v>112240.11795101802</v>
      </c>
      <c r="F30" s="70">
        <f>128985+22691+1</f>
        <v>151677</v>
      </c>
      <c r="G30" s="70">
        <f t="shared" si="4"/>
        <v>52475.903652183166</v>
      </c>
      <c r="H30" s="70">
        <f>475058+22705+1</f>
        <v>497764</v>
      </c>
      <c r="I30" s="70"/>
      <c r="J30" s="70"/>
      <c r="K30" s="70">
        <f t="shared" si="11"/>
        <v>172211.9583892925</v>
      </c>
      <c r="L30" s="70"/>
      <c r="M30" s="70"/>
      <c r="N30" s="70">
        <f>422978+22627</f>
        <v>445605</v>
      </c>
      <c r="O30" s="70">
        <f>(N30/N$34*O$38)/1.07</f>
        <v>154166.456492556</v>
      </c>
      <c r="P30" s="70">
        <f>401101+22699</f>
        <v>423800</v>
      </c>
      <c r="Q30" s="70">
        <f t="shared" si="5"/>
        <v>146622.62125238334</v>
      </c>
      <c r="R30" s="70">
        <f>119121+22691</f>
        <v>141812</v>
      </c>
      <c r="S30" s="70">
        <f t="shared" si="6"/>
        <v>49062.894785922916</v>
      </c>
      <c r="T30" s="70">
        <f>292718+22687</f>
        <v>315405</v>
      </c>
      <c r="U30" s="70">
        <f t="shared" si="7"/>
        <v>109121.02722997141</v>
      </c>
      <c r="V30" s="70">
        <f>388895+22665</f>
        <v>411560</v>
      </c>
      <c r="W30" s="70">
        <f>W31+W32</f>
        <v>194387.98243121555</v>
      </c>
      <c r="X30" s="70"/>
      <c r="Y30" s="70">
        <f t="shared" si="8"/>
        <v>4074187.8232106394</v>
      </c>
    </row>
    <row r="31" spans="1:25" ht="15.75" customHeight="1" hidden="1">
      <c r="A31" s="72" t="s">
        <v>11</v>
      </c>
      <c r="B31" s="70">
        <f>B30*0.07</f>
        <v>30373.980000000003</v>
      </c>
      <c r="C31" s="70">
        <f t="shared" si="9"/>
        <v>10508.522015255512</v>
      </c>
      <c r="D31" s="70">
        <f t="shared" si="10"/>
        <v>7856.808256571263</v>
      </c>
      <c r="E31" s="70">
        <f t="shared" si="10"/>
        <v>7856.808256571263</v>
      </c>
      <c r="F31" s="70">
        <f>F30*0.07</f>
        <v>10617.390000000001</v>
      </c>
      <c r="G31" s="70">
        <f t="shared" si="4"/>
        <v>3673.313255652822</v>
      </c>
      <c r="H31" s="70">
        <f>H30*0.07</f>
        <v>34843.48</v>
      </c>
      <c r="I31" s="70"/>
      <c r="J31" s="70"/>
      <c r="K31" s="70">
        <f t="shared" si="11"/>
        <v>12054.837087250477</v>
      </c>
      <c r="L31" s="70"/>
      <c r="M31" s="70"/>
      <c r="N31" s="70">
        <f>N30*0.07</f>
        <v>31192.350000000002</v>
      </c>
      <c r="O31" s="70">
        <f>(N31/N$34*O$38)/1.07</f>
        <v>10791.65195447892</v>
      </c>
      <c r="P31" s="70">
        <f>P30*0.07</f>
        <v>29666.000000000004</v>
      </c>
      <c r="Q31" s="70">
        <f t="shared" si="5"/>
        <v>10263.583487666834</v>
      </c>
      <c r="R31" s="70">
        <f>R30*0.07</f>
        <v>9926.84</v>
      </c>
      <c r="S31" s="70">
        <f t="shared" si="6"/>
        <v>3434.4026350146046</v>
      </c>
      <c r="T31" s="70">
        <f>T30*0.07</f>
        <v>22078.350000000002</v>
      </c>
      <c r="U31" s="70">
        <f t="shared" si="7"/>
        <v>7638.471906097999</v>
      </c>
      <c r="V31" s="70">
        <f>V30*0.07</f>
        <v>28809.200000000004</v>
      </c>
      <c r="W31" s="70">
        <f>(V31/V$34*W$38)/1.07</f>
        <v>9967.158770185091</v>
      </c>
      <c r="X31" s="70"/>
      <c r="Y31" s="70">
        <f t="shared" si="8"/>
        <v>281553.1476247448</v>
      </c>
    </row>
    <row r="32" spans="1:25" ht="15" hidden="1">
      <c r="A32" s="72" t="s">
        <v>12</v>
      </c>
      <c r="B32" s="70">
        <f>B30-B31</f>
        <v>403540.02</v>
      </c>
      <c r="C32" s="70">
        <f t="shared" si="9"/>
        <v>139613.22105982323</v>
      </c>
      <c r="D32" s="70">
        <f t="shared" si="10"/>
        <v>104383.30969444677</v>
      </c>
      <c r="E32" s="70">
        <f t="shared" si="10"/>
        <v>104383.30969444677</v>
      </c>
      <c r="F32" s="70">
        <f>F30-F31</f>
        <v>141059.61</v>
      </c>
      <c r="G32" s="70">
        <f t="shared" si="4"/>
        <v>48802.59039653034</v>
      </c>
      <c r="H32" s="70">
        <f>H30-H31</f>
        <v>462920.52</v>
      </c>
      <c r="I32" s="70"/>
      <c r="J32" s="70"/>
      <c r="K32" s="70">
        <f t="shared" si="11"/>
        <v>160157.12130204204</v>
      </c>
      <c r="L32" s="70"/>
      <c r="M32" s="70"/>
      <c r="N32" s="70">
        <f>N30-N31</f>
        <v>414412.65</v>
      </c>
      <c r="O32" s="70">
        <f>(N32/N$34*O$38)/1.07</f>
        <v>143374.80453807706</v>
      </c>
      <c r="P32" s="70">
        <f>P30-P31</f>
        <v>394134</v>
      </c>
      <c r="Q32" s="70">
        <f t="shared" si="5"/>
        <v>136359.03776471652</v>
      </c>
      <c r="R32" s="70">
        <f>R30-R31</f>
        <v>131885.16</v>
      </c>
      <c r="S32" s="70">
        <f t="shared" si="6"/>
        <v>45628.49215090831</v>
      </c>
      <c r="T32" s="70">
        <f>T30-T31</f>
        <v>293326.65</v>
      </c>
      <c r="U32" s="70">
        <f t="shared" si="7"/>
        <v>101482.55532387341</v>
      </c>
      <c r="V32" s="70">
        <f>V30-V31</f>
        <v>382750.8</v>
      </c>
      <c r="W32" s="70">
        <f>(V32/V$34*W$38)/1.07+52000</f>
        <v>184420.82366103047</v>
      </c>
      <c r="X32" s="70"/>
      <c r="Y32" s="70">
        <f t="shared" si="8"/>
        <v>3792634.675585895</v>
      </c>
    </row>
    <row r="33" spans="1:25" ht="15.75" customHeight="1" hidden="1" thickBot="1">
      <c r="A33" s="71" t="s">
        <v>50</v>
      </c>
      <c r="B33" s="70">
        <v>0</v>
      </c>
      <c r="C33" s="70">
        <f t="shared" si="9"/>
        <v>0</v>
      </c>
      <c r="D33" s="70">
        <f t="shared" si="10"/>
        <v>0</v>
      </c>
      <c r="E33" s="70">
        <f t="shared" si="10"/>
        <v>0</v>
      </c>
      <c r="F33" s="70">
        <v>0</v>
      </c>
      <c r="G33" s="70">
        <f t="shared" si="4"/>
        <v>0</v>
      </c>
      <c r="H33" s="70">
        <v>0</v>
      </c>
      <c r="I33" s="70"/>
      <c r="J33" s="70"/>
      <c r="K33" s="70">
        <f t="shared" si="11"/>
        <v>0</v>
      </c>
      <c r="L33" s="70"/>
      <c r="M33" s="70"/>
      <c r="N33" s="70"/>
      <c r="O33" s="70">
        <f>(N33/N$34*O$38)/1.07</f>
        <v>0</v>
      </c>
      <c r="P33" s="70"/>
      <c r="Q33" s="70">
        <f t="shared" si="5"/>
        <v>0</v>
      </c>
      <c r="R33" s="70">
        <v>0</v>
      </c>
      <c r="S33" s="70">
        <f t="shared" si="6"/>
        <v>0</v>
      </c>
      <c r="T33" s="70">
        <v>0</v>
      </c>
      <c r="U33" s="70">
        <f t="shared" si="7"/>
        <v>0</v>
      </c>
      <c r="V33" s="70"/>
      <c r="W33" s="70">
        <f>(V33/V$34*W$38)/1.07</f>
        <v>0</v>
      </c>
      <c r="X33" s="70"/>
      <c r="Y33" s="70">
        <f t="shared" si="8"/>
        <v>0</v>
      </c>
    </row>
    <row r="34" spans="1:25" ht="15.75" hidden="1" thickBot="1">
      <c r="A34" s="15" t="s">
        <v>46</v>
      </c>
      <c r="B34" s="69">
        <f aca="true" t="shared" si="12" ref="B34:W34">SUM(B26:B30)+B33</f>
        <v>889787</v>
      </c>
      <c r="C34" s="69">
        <f t="shared" si="12"/>
        <v>307840.6675183218</v>
      </c>
      <c r="D34" s="69">
        <f t="shared" si="12"/>
        <v>230160.3493578969</v>
      </c>
      <c r="E34" s="69">
        <f t="shared" si="12"/>
        <v>230160.3493578969</v>
      </c>
      <c r="F34" s="69">
        <f t="shared" si="12"/>
        <v>889736</v>
      </c>
      <c r="G34" s="69">
        <f t="shared" si="12"/>
        <v>307823.2072883749</v>
      </c>
      <c r="H34" s="69">
        <f t="shared" si="12"/>
        <v>890262</v>
      </c>
      <c r="I34" s="69"/>
      <c r="J34" s="69"/>
      <c r="K34" s="69">
        <f t="shared" si="12"/>
        <v>308004.9230148591</v>
      </c>
      <c r="L34" s="69"/>
      <c r="M34" s="69"/>
      <c r="N34" s="69">
        <f t="shared" si="12"/>
        <v>887233</v>
      </c>
      <c r="O34" s="69">
        <f t="shared" si="12"/>
        <v>306956.9858804545</v>
      </c>
      <c r="P34" s="69">
        <f t="shared" si="12"/>
        <v>890027</v>
      </c>
      <c r="Q34" s="69">
        <f t="shared" si="12"/>
        <v>307923.76527936524</v>
      </c>
      <c r="R34" s="69">
        <f t="shared" si="12"/>
        <v>889722</v>
      </c>
      <c r="S34" s="69">
        <f t="shared" si="12"/>
        <v>307818.3572245008</v>
      </c>
      <c r="T34" s="69">
        <f t="shared" si="12"/>
        <v>889589</v>
      </c>
      <c r="U34" s="69">
        <f t="shared" si="12"/>
        <v>307772.11994890065</v>
      </c>
      <c r="V34" s="69">
        <f t="shared" si="12"/>
        <v>888708</v>
      </c>
      <c r="W34" s="69">
        <f t="shared" si="12"/>
        <v>307467.5359376051</v>
      </c>
      <c r="X34" s="68">
        <f>SUM(B34,F34,H34,N34,P34,R34,T34,V34)</f>
        <v>7115064</v>
      </c>
      <c r="Y34" s="67">
        <f>SUM(B34:X34)</f>
        <v>17152056.260808177</v>
      </c>
    </row>
    <row r="35" spans="1:25" ht="26.25" hidden="1" thickBot="1">
      <c r="A35" s="17" t="s">
        <v>45</v>
      </c>
      <c r="B35" s="66">
        <f aca="true" t="shared" si="13" ref="B35:W35">ROUND(B34*0.07,0)</f>
        <v>62285</v>
      </c>
      <c r="C35" s="66">
        <f t="shared" si="13"/>
        <v>21549</v>
      </c>
      <c r="D35" s="66">
        <f t="shared" si="13"/>
        <v>16111</v>
      </c>
      <c r="E35" s="66">
        <f t="shared" si="13"/>
        <v>16111</v>
      </c>
      <c r="F35" s="66">
        <f t="shared" si="13"/>
        <v>62282</v>
      </c>
      <c r="G35" s="66">
        <f t="shared" si="13"/>
        <v>21548</v>
      </c>
      <c r="H35" s="66">
        <f t="shared" si="13"/>
        <v>62318</v>
      </c>
      <c r="I35" s="66"/>
      <c r="J35" s="66"/>
      <c r="K35" s="66">
        <f t="shared" si="13"/>
        <v>21560</v>
      </c>
      <c r="L35" s="66"/>
      <c r="M35" s="66"/>
      <c r="N35" s="66">
        <f t="shared" si="13"/>
        <v>62106</v>
      </c>
      <c r="O35" s="66">
        <f t="shared" si="13"/>
        <v>21487</v>
      </c>
      <c r="P35" s="66">
        <f t="shared" si="13"/>
        <v>62302</v>
      </c>
      <c r="Q35" s="66">
        <f t="shared" si="13"/>
        <v>21555</v>
      </c>
      <c r="R35" s="66">
        <f t="shared" si="13"/>
        <v>62281</v>
      </c>
      <c r="S35" s="66">
        <f t="shared" si="13"/>
        <v>21547</v>
      </c>
      <c r="T35" s="66">
        <f t="shared" si="13"/>
        <v>62271</v>
      </c>
      <c r="U35" s="66">
        <f t="shared" si="13"/>
        <v>21544</v>
      </c>
      <c r="V35" s="66">
        <f t="shared" si="13"/>
        <v>62210</v>
      </c>
      <c r="W35" s="66">
        <f t="shared" si="13"/>
        <v>21523</v>
      </c>
      <c r="X35" s="65"/>
      <c r="Y35" s="64">
        <f>SUM(B35:W35)</f>
        <v>702590</v>
      </c>
    </row>
    <row r="36" spans="1:25" ht="25.5" hidden="1">
      <c r="A36" s="19" t="s">
        <v>53</v>
      </c>
      <c r="B36" s="63">
        <f>SUM(B34:B35)</f>
        <v>952072</v>
      </c>
      <c r="C36" s="63">
        <f>C40+C41</f>
        <v>381542.854</v>
      </c>
      <c r="D36" s="63">
        <f>D40+D41</f>
        <v>285264.5730000001</v>
      </c>
      <c r="E36" s="63">
        <f>E40+E41</f>
        <v>285264.5730000001</v>
      </c>
      <c r="F36" s="63">
        <f>SUM(F34:F35)</f>
        <v>952018</v>
      </c>
      <c r="G36" s="63">
        <f>G40+G41</f>
        <v>381521.21350000007</v>
      </c>
      <c r="H36" s="63">
        <f>SUM(H34:H35)</f>
        <v>952580</v>
      </c>
      <c r="I36" s="63"/>
      <c r="J36" s="63"/>
      <c r="K36" s="63">
        <f>K40+K41</f>
        <v>381746.435</v>
      </c>
      <c r="L36" s="63"/>
      <c r="M36" s="63"/>
      <c r="N36" s="63">
        <f>SUM(N34:N35)</f>
        <v>949339</v>
      </c>
      <c r="O36" s="63">
        <f>O40+O41</f>
        <v>380447.6042500001</v>
      </c>
      <c r="P36" s="63">
        <f>SUM(P34:P35)</f>
        <v>952329</v>
      </c>
      <c r="Q36" s="63">
        <f>Q40+Q41</f>
        <v>381645.84675</v>
      </c>
      <c r="R36" s="63">
        <f>SUM(R34:R35)</f>
        <v>952003</v>
      </c>
      <c r="S36" s="63">
        <f>S40+S41</f>
        <v>381515.20225000003</v>
      </c>
      <c r="T36" s="63">
        <f>SUM(T34:T35)</f>
        <v>951860</v>
      </c>
      <c r="U36" s="63">
        <f>U40+U41</f>
        <v>381457.8950000001</v>
      </c>
      <c r="V36" s="63">
        <f>SUM(V34:V35)</f>
        <v>950918</v>
      </c>
      <c r="W36" s="63">
        <f>W40+W41</f>
        <v>381080.3885</v>
      </c>
      <c r="X36" s="63">
        <f>SUM(B36,F36,H36,N36,P36,R36,T36,V36)</f>
        <v>7613119</v>
      </c>
      <c r="Y36" s="62">
        <f>SUM(Y34:Y35)</f>
        <v>17854646.260808177</v>
      </c>
    </row>
    <row r="37" spans="1:25" ht="15.75" customHeight="1" hidden="1">
      <c r="A37" s="61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59"/>
      <c r="X37" s="59"/>
      <c r="Y37" s="59"/>
    </row>
    <row r="38" spans="1:25" ht="15" hidden="1">
      <c r="A38" s="22" t="s">
        <v>5</v>
      </c>
      <c r="B38" s="22"/>
      <c r="C38" s="58">
        <f>'[1]Budget Annex ÎII (original)'!B41</f>
        <v>329389.51424460433</v>
      </c>
      <c r="D38" s="58">
        <f>D39</f>
        <v>246271.5738129497</v>
      </c>
      <c r="E38" s="58">
        <f>E39</f>
        <v>246271.5738129497</v>
      </c>
      <c r="F38" s="22"/>
      <c r="G38" s="58">
        <f>'[1]Budget Annex ÎII (original)'!D41</f>
        <v>329370.83179856115</v>
      </c>
      <c r="H38" s="58"/>
      <c r="I38" s="58"/>
      <c r="J38" s="58"/>
      <c r="K38" s="58">
        <f>'[1]Budget Annex ÎII (original)'!F41</f>
        <v>329565.2676258993</v>
      </c>
      <c r="L38" s="58"/>
      <c r="M38" s="58"/>
      <c r="N38" s="58"/>
      <c r="O38" s="58">
        <f>'[1]Budget Annex ÎII (original)'!H41</f>
        <v>328443.97489208635</v>
      </c>
      <c r="P38" s="58"/>
      <c r="Q38" s="58">
        <f>'[1]Budget Annex ÎII (original)'!J41</f>
        <v>329478.42884892086</v>
      </c>
      <c r="R38" s="58"/>
      <c r="S38" s="58">
        <f>'[1]Budget Annex ÎII (original)'!L41</f>
        <v>329365.6422302159</v>
      </c>
      <c r="T38" s="58"/>
      <c r="U38" s="58">
        <f>'[1]Budget Annex ÎII (original)'!N41</f>
        <v>329316.16834532376</v>
      </c>
      <c r="V38" s="58"/>
      <c r="W38" s="58">
        <f>'[1]Budget Annex ÎII (original)'!P41</f>
        <v>328990.2634532374</v>
      </c>
      <c r="X38" s="57"/>
      <c r="Y38" s="57"/>
    </row>
    <row r="39" spans="1:25" ht="27.75" customHeight="1" hidden="1">
      <c r="A39" s="77" t="s">
        <v>27</v>
      </c>
      <c r="B39" s="76">
        <f>'[1]1st Instalment (Calculations)'!B61</f>
        <v>821932.6618705037</v>
      </c>
      <c r="C39" s="76">
        <f>C40</f>
        <v>329389.51424460433</v>
      </c>
      <c r="D39" s="76">
        <f>B39*'[1]1st Instalment (Calculations)'!$J$27</f>
        <v>246271.5738129497</v>
      </c>
      <c r="E39" s="76">
        <f>D39</f>
        <v>246271.5738129497</v>
      </c>
      <c r="F39" s="76">
        <f>'[1]1st Instalment (Calculations)'!D61</f>
        <v>821886.0431654678</v>
      </c>
      <c r="G39" s="76">
        <f>G40</f>
        <v>329370.8317985612</v>
      </c>
      <c r="H39" s="76">
        <f>'[1]1st Instalment (Calculations)'!F61</f>
        <v>822371.2230215828</v>
      </c>
      <c r="I39" s="76"/>
      <c r="J39" s="76"/>
      <c r="K39" s="76">
        <f>K40</f>
        <v>329565.2676258993</v>
      </c>
      <c r="L39" s="76"/>
      <c r="M39" s="76"/>
      <c r="N39" s="76">
        <f>'[1]1st Instalment (Calculations)'!H61</f>
        <v>819573.2374100721</v>
      </c>
      <c r="O39" s="76">
        <f>O40</f>
        <v>328443.9748920864</v>
      </c>
      <c r="P39" s="76">
        <f>'[1]1st Instalment (Calculations)'!J61</f>
        <v>822154.5323741009</v>
      </c>
      <c r="Q39" s="76">
        <f>Q40</f>
        <v>329478.4288489209</v>
      </c>
      <c r="R39" s="76">
        <f>'[1]1st Instalment (Calculations)'!L61</f>
        <v>821873.0935251799</v>
      </c>
      <c r="S39" s="76">
        <f>S40</f>
        <v>329365.64223021583</v>
      </c>
      <c r="T39" s="76">
        <f>'[1]1st Instalment (Calculations)'!N61</f>
        <v>821749.64028777</v>
      </c>
      <c r="U39" s="76">
        <f>U40</f>
        <v>329316.1683453238</v>
      </c>
      <c r="V39" s="76">
        <f>'[1]1st Instalment (Calculations)'!P61</f>
        <v>820936.4028776978</v>
      </c>
      <c r="W39" s="76">
        <f>W40</f>
        <v>328990.2634532374</v>
      </c>
      <c r="X39" s="76"/>
      <c r="Y39" s="76">
        <f>'[1]1st Instalment (Calculations)'!S61</f>
        <v>6572476.8345323745</v>
      </c>
    </row>
    <row r="40" spans="1:25" ht="15" hidden="1">
      <c r="A40" s="23" t="str">
        <f>'[1]1st Instalment (Calculations)'!A62</f>
        <v>1st Instalment (excluding ILO contribution)</v>
      </c>
      <c r="B40" s="35"/>
      <c r="C40" s="35">
        <f>'[1]1st Instalment (Calculations)'!C62</f>
        <v>329389.51424460433</v>
      </c>
      <c r="D40" s="76">
        <f>D39</f>
        <v>246271.5738129497</v>
      </c>
      <c r="E40" s="35">
        <f>E39</f>
        <v>246271.5738129497</v>
      </c>
      <c r="F40" s="35"/>
      <c r="G40" s="35">
        <f>'[1]1st Instalment (Calculations)'!E62</f>
        <v>329370.8317985612</v>
      </c>
      <c r="H40" s="35"/>
      <c r="I40" s="35"/>
      <c r="J40" s="35"/>
      <c r="K40" s="35">
        <f>'[1]1st Instalment (Calculations)'!G62</f>
        <v>329565.2676258993</v>
      </c>
      <c r="L40" s="35"/>
      <c r="M40" s="35"/>
      <c r="N40" s="35"/>
      <c r="O40" s="35">
        <f>'[1]1st Instalment (Calculations)'!I62</f>
        <v>328443.9748920864</v>
      </c>
      <c r="P40" s="35"/>
      <c r="Q40" s="35">
        <f>'[1]1st Instalment (Calculations)'!K62</f>
        <v>329478.4288489209</v>
      </c>
      <c r="R40" s="35"/>
      <c r="S40" s="35">
        <f>'[1]1st Instalment (Calculations)'!M62</f>
        <v>329365.64223021583</v>
      </c>
      <c r="T40" s="35"/>
      <c r="U40" s="35">
        <f>'[1]1st Instalment (Calculations)'!O62</f>
        <v>329316.1683453238</v>
      </c>
      <c r="V40" s="35"/>
      <c r="W40" s="35">
        <f>'[1]1st Instalment (Calculations)'!Q62</f>
        <v>328990.2634532374</v>
      </c>
      <c r="X40" s="23"/>
      <c r="Y40" s="76">
        <f>'[1]1st Instalment (Calculations)'!S62</f>
        <v>2633920.091438849</v>
      </c>
    </row>
    <row r="41" spans="1:25" ht="15" hidden="1">
      <c r="A41" s="23" t="str">
        <f>'[1]1st Instalment (Calculations)'!A63</f>
        <v>ILO contribution (more accurate)</v>
      </c>
      <c r="B41" s="76">
        <f>'[1]1st Instalment (Calculations)'!B63</f>
        <v>130139.3381294964</v>
      </c>
      <c r="C41" s="76">
        <f>'[1]1st Instalment (Calculations)'!C63</f>
        <v>52153.33975539568</v>
      </c>
      <c r="D41" s="76">
        <f>B41*'[1]1st Instalment (Calculations)'!$J$27</f>
        <v>38992.999187050365</v>
      </c>
      <c r="E41" s="76">
        <f>D41</f>
        <v>38992.999187050365</v>
      </c>
      <c r="F41" s="76">
        <f>'[1]1st Instalment (Calculations)'!D63</f>
        <v>130131.9568345324</v>
      </c>
      <c r="G41" s="76">
        <f>'[1]1st Instalment (Calculations)'!E63</f>
        <v>52150.381701438855</v>
      </c>
      <c r="H41" s="76">
        <f>'[1]1st Instalment (Calculations)'!F63</f>
        <v>130208.77697841727</v>
      </c>
      <c r="I41" s="76"/>
      <c r="J41" s="76"/>
      <c r="K41" s="76">
        <f>'[1]1st Instalment (Calculations)'!G63</f>
        <v>52181.16737410072</v>
      </c>
      <c r="L41" s="76"/>
      <c r="M41" s="76"/>
      <c r="N41" s="76">
        <f>'[1]1st Instalment (Calculations)'!H63</f>
        <v>129765.76258992808</v>
      </c>
      <c r="O41" s="76">
        <f>'[1]1st Instalment (Calculations)'!I63</f>
        <v>52003.629357913676</v>
      </c>
      <c r="P41" s="76">
        <f>'[1]1st Instalment (Calculations)'!J63</f>
        <v>130174.4676258993</v>
      </c>
      <c r="Q41" s="76">
        <f>'[1]1st Instalment (Calculations)'!K63</f>
        <v>52167.41790107914</v>
      </c>
      <c r="R41" s="76">
        <f>'[1]1st Instalment (Calculations)'!L63</f>
        <v>130129.90647482015</v>
      </c>
      <c r="S41" s="76">
        <f>'[1]1st Instalment (Calculations)'!M63</f>
        <v>52149.56001978418</v>
      </c>
      <c r="T41" s="76">
        <f>'[1]1st Instalment (Calculations)'!N63</f>
        <v>130110.35971223023</v>
      </c>
      <c r="U41" s="76">
        <f>'[1]1st Instalment (Calculations)'!O63</f>
        <v>52141.72665467626</v>
      </c>
      <c r="V41" s="76">
        <f>'[1]1st Instalment (Calculations)'!P63</f>
        <v>129981.59712230215</v>
      </c>
      <c r="W41" s="76">
        <f>'[1]1st Instalment (Calculations)'!Q63</f>
        <v>52090.12504676259</v>
      </c>
      <c r="X41" s="76"/>
      <c r="Y41" s="76">
        <f>'[1]1st Instalment (Calculations)'!S63</f>
        <v>1040642.1654676261</v>
      </c>
    </row>
    <row r="42" spans="1:25" ht="15" hidden="1">
      <c r="A42" s="23" t="str">
        <f>'[1]1st Instalment (Calculations)'!A64</f>
        <v>ILO contribution as a share (%) (more accurate)</v>
      </c>
      <c r="B42" s="24">
        <f>'[1]1st Instalment (Calculations)'!B64</f>
        <v>0.15833333333333333</v>
      </c>
      <c r="C42" s="24">
        <f>'[1]1st Instalment (Calculations)'!C64</f>
        <v>0.15833333333333333</v>
      </c>
      <c r="D42" s="24">
        <f>D41/D39</f>
        <v>0.15833333333333333</v>
      </c>
      <c r="E42" s="24">
        <f>E41/E39</f>
        <v>0.15833333333333333</v>
      </c>
      <c r="F42" s="24">
        <f>'[1]1st Instalment (Calculations)'!D64</f>
        <v>0.15833333333333333</v>
      </c>
      <c r="G42" s="24">
        <f>'[1]1st Instalment (Calculations)'!E64</f>
        <v>0.15833333333333333</v>
      </c>
      <c r="H42" s="24">
        <f>'[1]1st Instalment (Calculations)'!F64</f>
        <v>0.15833333333333333</v>
      </c>
      <c r="I42" s="24"/>
      <c r="J42" s="24"/>
      <c r="K42" s="24">
        <f>'[1]1st Instalment (Calculations)'!G64</f>
        <v>0.15833333333333333</v>
      </c>
      <c r="L42" s="24"/>
      <c r="M42" s="24"/>
      <c r="N42" s="24">
        <f>'[1]1st Instalment (Calculations)'!H64</f>
        <v>0.15833333333333333</v>
      </c>
      <c r="O42" s="24">
        <f>'[1]1st Instalment (Calculations)'!I64</f>
        <v>0.15833333333333333</v>
      </c>
      <c r="P42" s="24">
        <f>'[1]1st Instalment (Calculations)'!J64</f>
        <v>0.15833333333333333</v>
      </c>
      <c r="Q42" s="24">
        <f>'[1]1st Instalment (Calculations)'!K64</f>
        <v>0.15833333333333333</v>
      </c>
      <c r="R42" s="24">
        <f>'[1]1st Instalment (Calculations)'!L64</f>
        <v>0.15833333333333333</v>
      </c>
      <c r="S42" s="24">
        <f>'[1]1st Instalment (Calculations)'!M64</f>
        <v>0.15833333333333335</v>
      </c>
      <c r="T42" s="24">
        <f>'[1]1st Instalment (Calculations)'!N64</f>
        <v>0.15833333333333333</v>
      </c>
      <c r="U42" s="24">
        <f>'[1]1st Instalment (Calculations)'!O64</f>
        <v>0.1583333333333333</v>
      </c>
      <c r="V42" s="24">
        <f>'[1]1st Instalment (Calculations)'!P64</f>
        <v>0.15833333333333333</v>
      </c>
      <c r="W42" s="24">
        <f>'[1]1st Instalment (Calculations)'!Q64</f>
        <v>0.15833333333333333</v>
      </c>
      <c r="X42" s="24"/>
      <c r="Y42" s="24">
        <f>AVERAGE(B42:W42)</f>
        <v>0.15833333333333327</v>
      </c>
    </row>
    <row r="43" ht="15" hidden="1"/>
    <row r="44" spans="2:23" ht="15" hidden="1">
      <c r="B44" s="147" t="str">
        <f>B21</f>
        <v>Reviewed - Final</v>
      </c>
      <c r="C44" s="148"/>
      <c r="D44" s="75"/>
      <c r="E44" s="75"/>
      <c r="F44" s="147" t="str">
        <f>F21</f>
        <v>Reviewed - Final</v>
      </c>
      <c r="G44" s="148"/>
      <c r="H44" s="147" t="str">
        <f>H21</f>
        <v>Reviewed - Final</v>
      </c>
      <c r="I44" s="155"/>
      <c r="J44" s="155"/>
      <c r="K44" s="148"/>
      <c r="L44" s="75"/>
      <c r="M44" s="75"/>
      <c r="N44" s="147" t="str">
        <f>N21</f>
        <v>Reviewed - Final</v>
      </c>
      <c r="O44" s="148"/>
      <c r="P44" s="147" t="str">
        <f>P21</f>
        <v>Reviewed - Final</v>
      </c>
      <c r="Q44" s="148"/>
      <c r="R44" s="147" t="str">
        <f>R21</f>
        <v>Reviewed - Final</v>
      </c>
      <c r="S44" s="148"/>
      <c r="T44" s="147" t="str">
        <f>T21</f>
        <v>Reviewed - Final</v>
      </c>
      <c r="U44" s="148"/>
      <c r="V44" s="147" t="str">
        <f>V21</f>
        <v>Reviewed - Final</v>
      </c>
      <c r="W44" s="148"/>
    </row>
    <row r="45" spans="1:25" ht="15" hidden="1">
      <c r="A45" s="138" t="str">
        <f>A22</f>
        <v xml:space="preserve">Consolidated Expenses Per Country Offices
</v>
      </c>
      <c r="B45" s="149" t="str">
        <f>B22</f>
        <v xml:space="preserve">Cambodia
Costs 
(in EUR)
</v>
      </c>
      <c r="C45" s="150"/>
      <c r="D45" s="25"/>
      <c r="E45" s="25"/>
      <c r="F45" s="149" t="str">
        <f>F22</f>
        <v>Paraguay
Costs
(in EUR)</v>
      </c>
      <c r="G45" s="150"/>
      <c r="H45" s="149" t="str">
        <f>H22</f>
        <v>Nepal
Costs
(in EUR)</v>
      </c>
      <c r="I45" s="154"/>
      <c r="J45" s="154"/>
      <c r="K45" s="150"/>
      <c r="L45" s="25"/>
      <c r="M45" s="101"/>
      <c r="N45" s="149" t="str">
        <f>N22</f>
        <v>Uganda
Costs
(in EUR)</v>
      </c>
      <c r="O45" s="150"/>
      <c r="P45" s="149" t="str">
        <f>P22</f>
        <v>Senegal
Costs
(in EUR)</v>
      </c>
      <c r="Q45" s="150"/>
      <c r="R45" s="149" t="str">
        <f>R22</f>
        <v>Burkina Faso
Costs
(in EUR)</v>
      </c>
      <c r="S45" s="150"/>
      <c r="T45" s="149" t="str">
        <f>T22</f>
        <v>Angola
Costs
(in EUR)</v>
      </c>
      <c r="U45" s="150"/>
      <c r="V45" s="149" t="str">
        <f>V22</f>
        <v>Ethiopia
Costs
(in EUR)</v>
      </c>
      <c r="W45" s="150"/>
      <c r="X45" s="135" t="str">
        <f>X22</f>
        <v>Total ILO (incl. ILO contributions)</v>
      </c>
      <c r="Y45" s="135" t="str">
        <f>Y22</f>
        <v>Total budget</v>
      </c>
    </row>
    <row r="46" spans="1:25" ht="15" hidden="1">
      <c r="A46" s="139"/>
      <c r="B46" s="141"/>
      <c r="C46" s="142"/>
      <c r="D46" s="26"/>
      <c r="E46" s="26"/>
      <c r="F46" s="141"/>
      <c r="G46" s="142"/>
      <c r="H46" s="141"/>
      <c r="I46" s="145"/>
      <c r="J46" s="145"/>
      <c r="K46" s="142"/>
      <c r="L46" s="26"/>
      <c r="M46" s="103"/>
      <c r="N46" s="141"/>
      <c r="O46" s="142"/>
      <c r="P46" s="141"/>
      <c r="Q46" s="142"/>
      <c r="R46" s="141"/>
      <c r="S46" s="142"/>
      <c r="T46" s="141"/>
      <c r="U46" s="142"/>
      <c r="V46" s="141"/>
      <c r="W46" s="142"/>
      <c r="X46" s="136"/>
      <c r="Y46" s="136"/>
    </row>
    <row r="47" spans="1:25" ht="15.75" hidden="1" thickBot="1">
      <c r="A47" s="140"/>
      <c r="B47" s="143"/>
      <c r="C47" s="144"/>
      <c r="D47" s="27"/>
      <c r="E47" s="27"/>
      <c r="F47" s="143"/>
      <c r="G47" s="144"/>
      <c r="H47" s="143"/>
      <c r="I47" s="146"/>
      <c r="J47" s="146"/>
      <c r="K47" s="144"/>
      <c r="L47" s="27"/>
      <c r="M47" s="105"/>
      <c r="N47" s="143"/>
      <c r="O47" s="144"/>
      <c r="P47" s="143"/>
      <c r="Q47" s="144"/>
      <c r="R47" s="143"/>
      <c r="S47" s="144"/>
      <c r="T47" s="143"/>
      <c r="U47" s="144"/>
      <c r="V47" s="143"/>
      <c r="W47" s="144"/>
      <c r="X47" s="137"/>
      <c r="Y47" s="137"/>
    </row>
    <row r="48" spans="1:25" ht="15" hidden="1">
      <c r="A48" s="2"/>
      <c r="B48" s="3" t="s">
        <v>52</v>
      </c>
      <c r="C48" s="2" t="s">
        <v>5</v>
      </c>
      <c r="D48" s="3"/>
      <c r="E48" s="3"/>
      <c r="F48" s="3" t="s">
        <v>52</v>
      </c>
      <c r="G48" s="2" t="s">
        <v>5</v>
      </c>
      <c r="H48" s="3" t="s">
        <v>52</v>
      </c>
      <c r="I48" s="104"/>
      <c r="J48" s="104"/>
      <c r="K48" s="2" t="s">
        <v>5</v>
      </c>
      <c r="L48" s="3"/>
      <c r="M48" s="104"/>
      <c r="N48" s="3" t="s">
        <v>52</v>
      </c>
      <c r="O48" s="2" t="s">
        <v>5</v>
      </c>
      <c r="P48" s="3" t="s">
        <v>52</v>
      </c>
      <c r="Q48" s="2" t="s">
        <v>5</v>
      </c>
      <c r="R48" s="3" t="s">
        <v>52</v>
      </c>
      <c r="S48" s="2" t="s">
        <v>5</v>
      </c>
      <c r="T48" s="3" t="s">
        <v>52</v>
      </c>
      <c r="U48" s="2" t="s">
        <v>5</v>
      </c>
      <c r="V48" s="3" t="s">
        <v>52</v>
      </c>
      <c r="W48" s="2" t="s">
        <v>5</v>
      </c>
      <c r="X48" s="4"/>
      <c r="Y48" s="4"/>
    </row>
    <row r="49" spans="1:25" ht="15" hidden="1">
      <c r="A49" s="74" t="s">
        <v>6</v>
      </c>
      <c r="B49" s="70">
        <f>321103+90770</f>
        <v>411873</v>
      </c>
      <c r="C49" s="70">
        <f aca="true" t="shared" si="14" ref="C49:C56">(B49/B$34*C$38)/1.07</f>
        <v>142496.19206930845</v>
      </c>
      <c r="D49" s="70"/>
      <c r="E49" s="70"/>
      <c r="F49" s="70">
        <f>512833+90765</f>
        <v>603598</v>
      </c>
      <c r="G49" s="70">
        <f aca="true" t="shared" si="15" ref="G49:G56">(F49/F$34*G$38)/1.07</f>
        <v>208827.64356263936</v>
      </c>
      <c r="H49" s="70">
        <f>235648+90819</f>
        <v>326467</v>
      </c>
      <c r="I49" s="70"/>
      <c r="J49" s="70"/>
      <c r="K49" s="70">
        <f>(H49/H$34*K$38)/1.07-4000</f>
        <v>108948.14695212423</v>
      </c>
      <c r="L49" s="70"/>
      <c r="M49" s="70"/>
      <c r="N49" s="70">
        <f>325350+90510</f>
        <v>415860</v>
      </c>
      <c r="O49" s="70">
        <f>(N49/N$34*O$38)/1.07-10000</f>
        <v>133875.5458242038</v>
      </c>
      <c r="P49" s="70">
        <f>353132+90795</f>
        <v>443927</v>
      </c>
      <c r="Q49" s="70">
        <f aca="true" t="shared" si="16" ref="Q49:Q56">(P49/P$34*Q$38)/1.07</f>
        <v>153585.98486245112</v>
      </c>
      <c r="R49" s="70">
        <f>597347+90763</f>
        <v>688110</v>
      </c>
      <c r="S49" s="70">
        <f aca="true" t="shared" si="17" ref="S49:S56">(R49/R$34*S$38)/1.07</f>
        <v>238066.37330508998</v>
      </c>
      <c r="T49" s="70">
        <f>355434+90750</f>
        <v>446184</v>
      </c>
      <c r="U49" s="70">
        <f aca="true" t="shared" si="18" ref="U49:U56">(T49/T$34*U$38)/1.07</f>
        <v>154366.78687267972</v>
      </c>
      <c r="V49" s="70">
        <f>295049+90660</f>
        <v>385709</v>
      </c>
      <c r="W49" s="70">
        <f>(V49/V$34*W$38)/1.07-57000</f>
        <v>76444.27620653546</v>
      </c>
      <c r="X49" s="70"/>
      <c r="Y49" s="70">
        <f aca="true" t="shared" si="19" ref="Y49:Y56">SUM(B49:W49)</f>
        <v>4938338.949655031</v>
      </c>
    </row>
    <row r="50" spans="1:25" ht="15" hidden="1">
      <c r="A50" s="71" t="s">
        <v>7</v>
      </c>
      <c r="B50" s="70">
        <v>18000</v>
      </c>
      <c r="C50" s="70">
        <f t="shared" si="14"/>
        <v>6227.481425700523</v>
      </c>
      <c r="D50" s="70"/>
      <c r="E50" s="70"/>
      <c r="F50" s="70">
        <v>87731</v>
      </c>
      <c r="G50" s="70">
        <f t="shared" si="15"/>
        <v>30352.416670356615</v>
      </c>
      <c r="H50" s="70">
        <v>23879</v>
      </c>
      <c r="I50" s="70"/>
      <c r="J50" s="70"/>
      <c r="K50" s="70">
        <f>(H50/H$34*K$38)/1.07+4000</f>
        <v>12261.443885813189</v>
      </c>
      <c r="L50" s="70"/>
      <c r="M50" s="70"/>
      <c r="N50" s="70">
        <v>12000</v>
      </c>
      <c r="O50" s="70">
        <f>(N50/N$34*O$38)/1.07</f>
        <v>4151.653320565685</v>
      </c>
      <c r="P50" s="70">
        <v>10500</v>
      </c>
      <c r="Q50" s="70">
        <f t="shared" si="16"/>
        <v>3632.698261326157</v>
      </c>
      <c r="R50" s="70">
        <v>7000</v>
      </c>
      <c r="S50" s="70">
        <f t="shared" si="17"/>
        <v>2421.7997313447413</v>
      </c>
      <c r="T50" s="70">
        <v>50000</v>
      </c>
      <c r="U50" s="70">
        <f t="shared" si="18"/>
        <v>17298.556971191232</v>
      </c>
      <c r="V50" s="70">
        <v>26196</v>
      </c>
      <c r="W50" s="70">
        <f>(V50/V$34*W$38)/1.07+5000</f>
        <v>14063.066351851792</v>
      </c>
      <c r="X50" s="70"/>
      <c r="Y50" s="70">
        <f t="shared" si="19"/>
        <v>325715.1166181499</v>
      </c>
    </row>
    <row r="51" spans="1:25" ht="15" hidden="1">
      <c r="A51" s="71" t="s">
        <v>8</v>
      </c>
      <c r="B51" s="70">
        <v>4000</v>
      </c>
      <c r="C51" s="70">
        <f t="shared" si="14"/>
        <v>1383.884761266783</v>
      </c>
      <c r="D51" s="70"/>
      <c r="E51" s="70"/>
      <c r="F51" s="70">
        <v>4495</v>
      </c>
      <c r="G51" s="70">
        <f t="shared" si="15"/>
        <v>1555.1414315721127</v>
      </c>
      <c r="H51" s="70">
        <v>35679</v>
      </c>
      <c r="I51" s="70"/>
      <c r="J51" s="70"/>
      <c r="K51" s="70">
        <f aca="true" t="shared" si="20" ref="K51:K56">(H51/H$34*K$38)/1.07</f>
        <v>12343.902860334552</v>
      </c>
      <c r="L51" s="70"/>
      <c r="M51" s="70"/>
      <c r="N51" s="70">
        <v>0</v>
      </c>
      <c r="O51" s="70">
        <v>10000</v>
      </c>
      <c r="P51" s="70">
        <v>5000</v>
      </c>
      <c r="Q51" s="70">
        <f t="shared" si="16"/>
        <v>1729.8563149172176</v>
      </c>
      <c r="R51" s="70">
        <v>10000</v>
      </c>
      <c r="S51" s="70">
        <f t="shared" si="17"/>
        <v>3459.7139019210586</v>
      </c>
      <c r="T51" s="70">
        <v>7800</v>
      </c>
      <c r="U51" s="70">
        <f t="shared" si="18"/>
        <v>2698.574887505832</v>
      </c>
      <c r="V51" s="70">
        <v>59424</v>
      </c>
      <c r="W51" s="70">
        <f>(V51/V$34*W$38)/1.07</f>
        <v>20559.003469706862</v>
      </c>
      <c r="X51" s="70"/>
      <c r="Y51" s="70">
        <f t="shared" si="19"/>
        <v>180128.0776272244</v>
      </c>
    </row>
    <row r="52" spans="1:25" ht="15" hidden="1">
      <c r="A52" s="73" t="s">
        <v>9</v>
      </c>
      <c r="B52" s="70">
        <v>22000</v>
      </c>
      <c r="C52" s="70">
        <f t="shared" si="14"/>
        <v>7611.366186967307</v>
      </c>
      <c r="D52" s="70"/>
      <c r="E52" s="70"/>
      <c r="F52" s="70">
        <v>42235</v>
      </c>
      <c r="G52" s="70">
        <f t="shared" si="15"/>
        <v>14612.10197162362</v>
      </c>
      <c r="H52" s="70">
        <v>6473</v>
      </c>
      <c r="I52" s="70"/>
      <c r="J52" s="70"/>
      <c r="K52" s="70">
        <f t="shared" si="20"/>
        <v>2239.4709272946425</v>
      </c>
      <c r="L52" s="70"/>
      <c r="M52" s="70"/>
      <c r="N52" s="70">
        <v>13768</v>
      </c>
      <c r="O52" s="70">
        <f>(N52/N$34*O$38)/1.07</f>
        <v>4763.3302431290285</v>
      </c>
      <c r="P52" s="70">
        <v>6800</v>
      </c>
      <c r="Q52" s="70">
        <f t="shared" si="16"/>
        <v>2352.604588287416</v>
      </c>
      <c r="R52" s="70">
        <v>42800</v>
      </c>
      <c r="S52" s="70">
        <f t="shared" si="17"/>
        <v>14807.575500222132</v>
      </c>
      <c r="T52" s="70">
        <v>70200</v>
      </c>
      <c r="U52" s="70">
        <f t="shared" si="18"/>
        <v>24287.173987552487</v>
      </c>
      <c r="V52" s="70">
        <v>5819</v>
      </c>
      <c r="W52" s="70">
        <f>(V52/V$34*W$38)/1.07</f>
        <v>2013.2074782953723</v>
      </c>
      <c r="X52" s="70"/>
      <c r="Y52" s="70">
        <f t="shared" si="19"/>
        <v>282781.830883372</v>
      </c>
    </row>
    <row r="53" spans="1:25" ht="15" hidden="1">
      <c r="A53" s="71" t="s">
        <v>51</v>
      </c>
      <c r="B53" s="70">
        <f>411222+22692</f>
        <v>433914</v>
      </c>
      <c r="C53" s="70">
        <f t="shared" si="14"/>
        <v>150121.74307507873</v>
      </c>
      <c r="D53" s="70"/>
      <c r="E53" s="70"/>
      <c r="F53" s="70">
        <f>128985+22691+1</f>
        <v>151677</v>
      </c>
      <c r="G53" s="70">
        <f t="shared" si="15"/>
        <v>52475.903652183166</v>
      </c>
      <c r="H53" s="70">
        <f>475058+22705+1</f>
        <v>497764</v>
      </c>
      <c r="I53" s="70"/>
      <c r="J53" s="70"/>
      <c r="K53" s="70">
        <f t="shared" si="20"/>
        <v>172211.9583892925</v>
      </c>
      <c r="L53" s="70"/>
      <c r="M53" s="70"/>
      <c r="N53" s="70">
        <f>422978+22627</f>
        <v>445605</v>
      </c>
      <c r="O53" s="70">
        <f>(N53/N$34*O$38)/1.07</f>
        <v>154166.456492556</v>
      </c>
      <c r="P53" s="70">
        <f>401101+22699</f>
        <v>423800</v>
      </c>
      <c r="Q53" s="70">
        <f t="shared" si="16"/>
        <v>146622.62125238334</v>
      </c>
      <c r="R53" s="70">
        <f>119121+22691</f>
        <v>141812</v>
      </c>
      <c r="S53" s="70">
        <f t="shared" si="17"/>
        <v>49062.894785922916</v>
      </c>
      <c r="T53" s="70">
        <f>292718+22687</f>
        <v>315405</v>
      </c>
      <c r="U53" s="70">
        <f t="shared" si="18"/>
        <v>109121.02722997141</v>
      </c>
      <c r="V53" s="70">
        <f>388895+22665</f>
        <v>411560</v>
      </c>
      <c r="W53" s="70">
        <f>W54+W55</f>
        <v>194387.98243121555</v>
      </c>
      <c r="X53" s="70"/>
      <c r="Y53" s="70">
        <f t="shared" si="19"/>
        <v>3849707.587308604</v>
      </c>
    </row>
    <row r="54" spans="1:25" ht="15" hidden="1">
      <c r="A54" s="72" t="s">
        <v>11</v>
      </c>
      <c r="B54" s="70">
        <f>B53*0.07</f>
        <v>30373.980000000003</v>
      </c>
      <c r="C54" s="70">
        <f t="shared" si="14"/>
        <v>10508.522015255512</v>
      </c>
      <c r="D54" s="70"/>
      <c r="E54" s="70"/>
      <c r="F54" s="70">
        <f>F53*0.07</f>
        <v>10617.390000000001</v>
      </c>
      <c r="G54" s="70">
        <f t="shared" si="15"/>
        <v>3673.313255652822</v>
      </c>
      <c r="H54" s="70">
        <f>H53*0.07</f>
        <v>34843.48</v>
      </c>
      <c r="I54" s="70"/>
      <c r="J54" s="70"/>
      <c r="K54" s="70">
        <f t="shared" si="20"/>
        <v>12054.837087250477</v>
      </c>
      <c r="L54" s="70"/>
      <c r="M54" s="70"/>
      <c r="N54" s="70">
        <f>N53*0.07</f>
        <v>31192.350000000002</v>
      </c>
      <c r="O54" s="70">
        <f>(N54/N$34*O$38)/1.07</f>
        <v>10791.65195447892</v>
      </c>
      <c r="P54" s="70">
        <f>P53*0.07</f>
        <v>29666.000000000004</v>
      </c>
      <c r="Q54" s="70">
        <f t="shared" si="16"/>
        <v>10263.583487666834</v>
      </c>
      <c r="R54" s="70">
        <f>R53*0.07</f>
        <v>9926.84</v>
      </c>
      <c r="S54" s="70">
        <f t="shared" si="17"/>
        <v>3434.4026350146046</v>
      </c>
      <c r="T54" s="70">
        <f>T53*0.07</f>
        <v>22078.350000000002</v>
      </c>
      <c r="U54" s="70">
        <f t="shared" si="18"/>
        <v>7638.471906097999</v>
      </c>
      <c r="V54" s="70">
        <f>V53*0.07</f>
        <v>28809.200000000004</v>
      </c>
      <c r="W54" s="70">
        <f>(V54/V$34*W$38)/1.07</f>
        <v>9967.158770185091</v>
      </c>
      <c r="X54" s="70"/>
      <c r="Y54" s="70">
        <f t="shared" si="19"/>
        <v>265839.53111160226</v>
      </c>
    </row>
    <row r="55" spans="1:25" ht="15" hidden="1">
      <c r="A55" s="72" t="s">
        <v>12</v>
      </c>
      <c r="B55" s="70">
        <f>B53-B54</f>
        <v>403540.02</v>
      </c>
      <c r="C55" s="70">
        <f t="shared" si="14"/>
        <v>139613.22105982323</v>
      </c>
      <c r="D55" s="70"/>
      <c r="E55" s="70"/>
      <c r="F55" s="70">
        <f>F53-F54</f>
        <v>141059.61</v>
      </c>
      <c r="G55" s="70">
        <f t="shared" si="15"/>
        <v>48802.59039653034</v>
      </c>
      <c r="H55" s="70">
        <f>H53-H54</f>
        <v>462920.52</v>
      </c>
      <c r="I55" s="70"/>
      <c r="J55" s="70"/>
      <c r="K55" s="70">
        <f t="shared" si="20"/>
        <v>160157.12130204204</v>
      </c>
      <c r="L55" s="70"/>
      <c r="M55" s="70"/>
      <c r="N55" s="70">
        <f>N53-N54</f>
        <v>414412.65</v>
      </c>
      <c r="O55" s="70">
        <f>(N55/N$34*O$38)/1.07</f>
        <v>143374.80453807706</v>
      </c>
      <c r="P55" s="70">
        <f>P53-P54</f>
        <v>394134</v>
      </c>
      <c r="Q55" s="70">
        <f t="shared" si="16"/>
        <v>136359.03776471652</v>
      </c>
      <c r="R55" s="70">
        <f>R53-R54</f>
        <v>131885.16</v>
      </c>
      <c r="S55" s="70">
        <f t="shared" si="17"/>
        <v>45628.49215090831</v>
      </c>
      <c r="T55" s="70">
        <f>T53-T54</f>
        <v>293326.65</v>
      </c>
      <c r="U55" s="70">
        <f t="shared" si="18"/>
        <v>101482.55532387341</v>
      </c>
      <c r="V55" s="70">
        <f>V53-V54</f>
        <v>382750.8</v>
      </c>
      <c r="W55" s="70">
        <f>(V55/V$34*W$38)/1.07+52000</f>
        <v>184420.82366103047</v>
      </c>
      <c r="X55" s="70"/>
      <c r="Y55" s="70">
        <f t="shared" si="19"/>
        <v>3583868.0561970007</v>
      </c>
    </row>
    <row r="56" spans="1:25" ht="15" hidden="1">
      <c r="A56" s="71" t="s">
        <v>50</v>
      </c>
      <c r="B56" s="70">
        <v>0</v>
      </c>
      <c r="C56" s="70">
        <f t="shared" si="14"/>
        <v>0</v>
      </c>
      <c r="D56" s="70"/>
      <c r="E56" s="70"/>
      <c r="F56" s="70">
        <v>0</v>
      </c>
      <c r="G56" s="70">
        <f t="shared" si="15"/>
        <v>0</v>
      </c>
      <c r="H56" s="70">
        <v>0</v>
      </c>
      <c r="I56" s="70"/>
      <c r="J56" s="70"/>
      <c r="K56" s="70">
        <f t="shared" si="20"/>
        <v>0</v>
      </c>
      <c r="L56" s="70"/>
      <c r="M56" s="70"/>
      <c r="N56" s="70"/>
      <c r="O56" s="70">
        <f>(N56/N$34*O$38)/1.07</f>
        <v>0</v>
      </c>
      <c r="P56" s="70"/>
      <c r="Q56" s="70">
        <f t="shared" si="16"/>
        <v>0</v>
      </c>
      <c r="R56" s="70">
        <v>0</v>
      </c>
      <c r="S56" s="70">
        <f t="shared" si="17"/>
        <v>0</v>
      </c>
      <c r="T56" s="70">
        <v>0</v>
      </c>
      <c r="U56" s="70">
        <f t="shared" si="18"/>
        <v>0</v>
      </c>
      <c r="V56" s="70"/>
      <c r="W56" s="70">
        <f>(V56/V$34*W$38)/1.07</f>
        <v>0</v>
      </c>
      <c r="X56" s="70"/>
      <c r="Y56" s="70">
        <f t="shared" si="19"/>
        <v>0</v>
      </c>
    </row>
    <row r="57" spans="1:25" ht="15.75" hidden="1" thickBot="1">
      <c r="A57" s="15" t="s">
        <v>46</v>
      </c>
      <c r="B57" s="69">
        <f>SUM(B49:B53)+B56</f>
        <v>889787</v>
      </c>
      <c r="C57" s="69">
        <f>SUM(C49:C53)+C56</f>
        <v>307840.6675183218</v>
      </c>
      <c r="D57" s="69"/>
      <c r="E57" s="69"/>
      <c r="F57" s="69">
        <f aca="true" t="shared" si="21" ref="F57:W57">SUM(F49:F53)+F56</f>
        <v>889736</v>
      </c>
      <c r="G57" s="69">
        <f t="shared" si="21"/>
        <v>307823.2072883749</v>
      </c>
      <c r="H57" s="69">
        <f t="shared" si="21"/>
        <v>890262</v>
      </c>
      <c r="I57" s="69"/>
      <c r="J57" s="69"/>
      <c r="K57" s="69">
        <f t="shared" si="21"/>
        <v>308004.9230148591</v>
      </c>
      <c r="L57" s="69"/>
      <c r="M57" s="69"/>
      <c r="N57" s="69">
        <f t="shared" si="21"/>
        <v>887233</v>
      </c>
      <c r="O57" s="69">
        <f t="shared" si="21"/>
        <v>306956.9858804545</v>
      </c>
      <c r="P57" s="69">
        <f t="shared" si="21"/>
        <v>890027</v>
      </c>
      <c r="Q57" s="69">
        <f t="shared" si="21"/>
        <v>307923.76527936524</v>
      </c>
      <c r="R57" s="69">
        <f t="shared" si="21"/>
        <v>889722</v>
      </c>
      <c r="S57" s="69">
        <f t="shared" si="21"/>
        <v>307818.3572245008</v>
      </c>
      <c r="T57" s="69">
        <f t="shared" si="21"/>
        <v>889589</v>
      </c>
      <c r="U57" s="69">
        <f t="shared" si="21"/>
        <v>307772.11994890065</v>
      </c>
      <c r="V57" s="69">
        <f t="shared" si="21"/>
        <v>888708</v>
      </c>
      <c r="W57" s="69">
        <f t="shared" si="21"/>
        <v>307467.5359376051</v>
      </c>
      <c r="X57" s="68">
        <f>SUM(B57,F57,H57,N57,P57,R57,T57,V57)</f>
        <v>7115064</v>
      </c>
      <c r="Y57" s="67">
        <f>SUM(B57:X57)</f>
        <v>16691735.56209238</v>
      </c>
    </row>
    <row r="58" spans="1:25" ht="26.25" hidden="1" thickBot="1">
      <c r="A58" s="17" t="s">
        <v>45</v>
      </c>
      <c r="B58" s="66">
        <f>ROUND(B57*0.07,0)</f>
        <v>62285</v>
      </c>
      <c r="C58" s="66">
        <f>ROUND(C57*0.07,0)</f>
        <v>21549</v>
      </c>
      <c r="D58" s="66"/>
      <c r="E58" s="66"/>
      <c r="F58" s="66">
        <f aca="true" t="shared" si="22" ref="F58:W58">ROUND(F57*0.07,0)</f>
        <v>62282</v>
      </c>
      <c r="G58" s="66">
        <f t="shared" si="22"/>
        <v>21548</v>
      </c>
      <c r="H58" s="66">
        <f t="shared" si="22"/>
        <v>62318</v>
      </c>
      <c r="I58" s="66"/>
      <c r="J58" s="66"/>
      <c r="K58" s="66">
        <f t="shared" si="22"/>
        <v>21560</v>
      </c>
      <c r="L58" s="66"/>
      <c r="M58" s="66"/>
      <c r="N58" s="66">
        <f t="shared" si="22"/>
        <v>62106</v>
      </c>
      <c r="O58" s="66">
        <f t="shared" si="22"/>
        <v>21487</v>
      </c>
      <c r="P58" s="66">
        <f t="shared" si="22"/>
        <v>62302</v>
      </c>
      <c r="Q58" s="66">
        <f t="shared" si="22"/>
        <v>21555</v>
      </c>
      <c r="R58" s="66">
        <f t="shared" si="22"/>
        <v>62281</v>
      </c>
      <c r="S58" s="66">
        <f t="shared" si="22"/>
        <v>21547</v>
      </c>
      <c r="T58" s="66">
        <f t="shared" si="22"/>
        <v>62271</v>
      </c>
      <c r="U58" s="66">
        <f t="shared" si="22"/>
        <v>21544</v>
      </c>
      <c r="V58" s="66">
        <f t="shared" si="22"/>
        <v>62210</v>
      </c>
      <c r="W58" s="66">
        <f t="shared" si="22"/>
        <v>21523</v>
      </c>
      <c r="X58" s="65"/>
      <c r="Y58" s="64">
        <f>SUM(B58:W58)</f>
        <v>670368</v>
      </c>
    </row>
    <row r="59" spans="1:25" ht="25.5" hidden="1">
      <c r="A59" s="19" t="s">
        <v>49</v>
      </c>
      <c r="B59" s="63">
        <f>SUM(B57:B58)</f>
        <v>952072</v>
      </c>
      <c r="C59" s="63">
        <f>SUM(C57:C58)</f>
        <v>329389.6675183218</v>
      </c>
      <c r="D59" s="63"/>
      <c r="E59" s="63"/>
      <c r="F59" s="63">
        <f aca="true" t="shared" si="23" ref="F59:W59">SUM(F57:F58)</f>
        <v>952018</v>
      </c>
      <c r="G59" s="63">
        <f t="shared" si="23"/>
        <v>329371.2072883749</v>
      </c>
      <c r="H59" s="63">
        <f t="shared" si="23"/>
        <v>952580</v>
      </c>
      <c r="I59" s="63"/>
      <c r="J59" s="63"/>
      <c r="K59" s="63">
        <f t="shared" si="23"/>
        <v>329564.9230148591</v>
      </c>
      <c r="L59" s="63"/>
      <c r="M59" s="63"/>
      <c r="N59" s="63">
        <f t="shared" si="23"/>
        <v>949339</v>
      </c>
      <c r="O59" s="63">
        <f t="shared" si="23"/>
        <v>328443.9858804545</v>
      </c>
      <c r="P59" s="63">
        <f t="shared" si="23"/>
        <v>952329</v>
      </c>
      <c r="Q59" s="63">
        <f t="shared" si="23"/>
        <v>329478.76527936524</v>
      </c>
      <c r="R59" s="63">
        <f t="shared" si="23"/>
        <v>952003</v>
      </c>
      <c r="S59" s="63">
        <f t="shared" si="23"/>
        <v>329365.3572245008</v>
      </c>
      <c r="T59" s="63">
        <f t="shared" si="23"/>
        <v>951860</v>
      </c>
      <c r="U59" s="63">
        <f t="shared" si="23"/>
        <v>329316.11994890065</v>
      </c>
      <c r="V59" s="63">
        <f t="shared" si="23"/>
        <v>950918</v>
      </c>
      <c r="W59" s="63">
        <f t="shared" si="23"/>
        <v>328990.5359376051</v>
      </c>
      <c r="X59" s="63">
        <f>SUM(B59,F59,H59,N59,P59,R59,T59,V59)</f>
        <v>7613119</v>
      </c>
      <c r="Y59" s="62">
        <f>SUM(Y57:Y58)</f>
        <v>17362103.56209238</v>
      </c>
    </row>
    <row r="60" spans="1:25" ht="15" hidden="1">
      <c r="A60" s="6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59"/>
      <c r="X60" s="59"/>
      <c r="Y60" s="59"/>
    </row>
    <row r="61" spans="1:25" ht="15" hidden="1">
      <c r="A61" s="22" t="s">
        <v>5</v>
      </c>
      <c r="B61" s="22"/>
      <c r="C61" s="58">
        <f>C38</f>
        <v>329389.51424460433</v>
      </c>
      <c r="D61" s="58"/>
      <c r="E61" s="58"/>
      <c r="F61" s="22"/>
      <c r="G61" s="58">
        <f>G38</f>
        <v>329370.83179856115</v>
      </c>
      <c r="H61" s="58"/>
      <c r="I61" s="58"/>
      <c r="J61" s="58"/>
      <c r="K61" s="58">
        <f>K38</f>
        <v>329565.2676258993</v>
      </c>
      <c r="L61" s="58"/>
      <c r="M61" s="58"/>
      <c r="N61" s="58"/>
      <c r="O61" s="58">
        <f>O38</f>
        <v>328443.97489208635</v>
      </c>
      <c r="P61" s="58"/>
      <c r="Q61" s="58">
        <f>Q38</f>
        <v>329478.42884892086</v>
      </c>
      <c r="R61" s="58"/>
      <c r="S61" s="58">
        <f>S38</f>
        <v>329365.6422302159</v>
      </c>
      <c r="T61" s="58"/>
      <c r="U61" s="58">
        <f>U38</f>
        <v>329316.16834532376</v>
      </c>
      <c r="V61" s="58"/>
      <c r="W61" s="58">
        <f>W38</f>
        <v>328990.2634532374</v>
      </c>
      <c r="X61" s="57"/>
      <c r="Y61" s="57"/>
    </row>
    <row r="62" ht="15" hidden="1"/>
    <row r="64" ht="15.75" hidden="1" thickBot="1"/>
    <row r="65" spans="1:14" ht="15" hidden="1">
      <c r="A65" s="149" t="s">
        <v>30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0"/>
      <c r="L65" s="25"/>
      <c r="M65" s="101"/>
      <c r="N65" s="135" t="s">
        <v>0</v>
      </c>
    </row>
    <row r="66" spans="1:14" ht="15" hidden="1">
      <c r="A66" s="141"/>
      <c r="B66" s="145"/>
      <c r="C66" s="145"/>
      <c r="D66" s="145"/>
      <c r="E66" s="145"/>
      <c r="F66" s="145"/>
      <c r="G66" s="145"/>
      <c r="H66" s="145"/>
      <c r="I66" s="145"/>
      <c r="J66" s="145"/>
      <c r="K66" s="142"/>
      <c r="L66" s="26"/>
      <c r="M66" s="103"/>
      <c r="N66" s="136"/>
    </row>
    <row r="67" spans="1:14" ht="15.75" hidden="1" thickBot="1">
      <c r="A67" s="143"/>
      <c r="B67" s="146"/>
      <c r="C67" s="146"/>
      <c r="D67" s="146"/>
      <c r="E67" s="146"/>
      <c r="F67" s="146"/>
      <c r="G67" s="146"/>
      <c r="H67" s="146"/>
      <c r="I67" s="146"/>
      <c r="J67" s="146"/>
      <c r="K67" s="144"/>
      <c r="L67" s="27"/>
      <c r="M67" s="105"/>
      <c r="N67" s="137"/>
    </row>
    <row r="68" spans="1:14" ht="15" hidden="1">
      <c r="A68" s="1"/>
      <c r="B68" s="26"/>
      <c r="C68" s="26"/>
      <c r="D68" s="26"/>
      <c r="E68" s="26"/>
      <c r="F68" s="26"/>
      <c r="G68" s="26"/>
      <c r="H68" s="26"/>
      <c r="I68" s="103"/>
      <c r="J68" s="103"/>
      <c r="K68" s="3"/>
      <c r="L68" s="26"/>
      <c r="M68" s="103"/>
      <c r="N68" s="4"/>
    </row>
    <row r="69" spans="1:14" ht="15.75" hidden="1" thickBot="1">
      <c r="A69" s="2"/>
      <c r="B69" s="3" t="s">
        <v>1</v>
      </c>
      <c r="C69" s="3" t="s">
        <v>2</v>
      </c>
      <c r="D69" s="3"/>
      <c r="E69" s="3"/>
      <c r="F69" s="3" t="s">
        <v>3</v>
      </c>
      <c r="G69" s="3" t="s">
        <v>52</v>
      </c>
      <c r="H69" s="2" t="s">
        <v>74</v>
      </c>
      <c r="I69" s="106"/>
      <c r="J69" s="106"/>
      <c r="K69" s="2" t="s">
        <v>75</v>
      </c>
      <c r="L69" s="1" t="s">
        <v>78</v>
      </c>
      <c r="M69" s="102"/>
      <c r="N69" s="4"/>
    </row>
    <row r="70" spans="1:14" ht="15" hidden="1">
      <c r="A70" s="5" t="s">
        <v>6</v>
      </c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7"/>
    </row>
    <row r="71" spans="1:14" ht="15" hidden="1">
      <c r="A71" s="8" t="str">
        <f>'[1]Budget Annex ÎII (original)'!A51</f>
        <v>1.1 Project Manager (P5 step 3) 50%</v>
      </c>
      <c r="B71" s="9" t="str">
        <f>'[1]Budget Annex ÎII (original)'!B51</f>
        <v>Per month</v>
      </c>
      <c r="C71" s="9">
        <v>44</v>
      </c>
      <c r="D71" s="9"/>
      <c r="E71" s="9"/>
      <c r="F71" s="9">
        <v>19235.903000000002</v>
      </c>
      <c r="G71" s="9">
        <v>423190</v>
      </c>
      <c r="H71" s="9">
        <f>G71*0.4008</f>
        <v>169614.552</v>
      </c>
      <c r="I71" s="9"/>
      <c r="J71" s="9"/>
      <c r="K71" s="9">
        <f>G71*0.2996</f>
        <v>126787.72399999999</v>
      </c>
      <c r="L71" s="9">
        <f>K71</f>
        <v>126787.72399999999</v>
      </c>
      <c r="M71" s="9"/>
      <c r="N71" s="9">
        <v>579224.1437336279</v>
      </c>
    </row>
    <row r="72" spans="1:14" ht="15" hidden="1">
      <c r="A72" s="8" t="str">
        <f>'[1]Budget Annex ÎII (original)'!A52</f>
        <v>1.2 Administrative support (G5 step 8) 50%</v>
      </c>
      <c r="B72" s="9" t="str">
        <f>'[1]Budget Annex ÎII (original)'!B52</f>
        <v>Per month</v>
      </c>
      <c r="C72" s="9">
        <v>44</v>
      </c>
      <c r="D72" s="9"/>
      <c r="E72" s="9"/>
      <c r="F72" s="9">
        <v>10707.989</v>
      </c>
      <c r="G72" s="9">
        <v>235576</v>
      </c>
      <c r="H72" s="9">
        <f>G72*0.4008</f>
        <v>94418.8608</v>
      </c>
      <c r="I72" s="9"/>
      <c r="J72" s="9"/>
      <c r="K72" s="9">
        <f>G72*0.2996</f>
        <v>70578.56959999999</v>
      </c>
      <c r="L72" s="9">
        <f>K72</f>
        <v>70578.56959999999</v>
      </c>
      <c r="M72" s="9"/>
      <c r="N72" s="9">
        <v>322435.09271058656</v>
      </c>
    </row>
    <row r="73" spans="1:14" ht="25.5" hidden="1">
      <c r="A73" s="8" t="str">
        <f>'[1]Budget Annex ÎII (original)'!A53</f>
        <v>1.3 65% of the time of a P3 (coorodnator/KM/reporting/visibility)</v>
      </c>
      <c r="B73" s="9" t="str">
        <f>'[1]Budget Annex ÎII (original)'!B53</f>
        <v xml:space="preserve">Per Month </v>
      </c>
      <c r="C73" s="9">
        <v>36</v>
      </c>
      <c r="D73" s="9"/>
      <c r="E73" s="9"/>
      <c r="F73" s="9">
        <v>11489.18</v>
      </c>
      <c r="G73" s="9">
        <v>0</v>
      </c>
      <c r="H73" s="9">
        <v>0</v>
      </c>
      <c r="I73" s="9"/>
      <c r="J73" s="9"/>
      <c r="K73" s="9"/>
      <c r="L73" s="9"/>
      <c r="M73" s="9"/>
      <c r="N73" s="9">
        <v>371836</v>
      </c>
    </row>
    <row r="74" spans="1:14" ht="25.5" hidden="1">
      <c r="A74" s="8" t="str">
        <f>'[1]Budget Annex ÎII (original)'!A54</f>
        <v>1.4 20% of the time of a P4 (PF4C, research, technical support)</v>
      </c>
      <c r="B74" s="9" t="str">
        <f>'[1]Budget Annex ÎII (original)'!B54</f>
        <v xml:space="preserve">Per Month </v>
      </c>
      <c r="C74" s="9">
        <v>36</v>
      </c>
      <c r="D74" s="9"/>
      <c r="E74" s="9"/>
      <c r="F74" s="9">
        <v>4206</v>
      </c>
      <c r="G74" s="9">
        <v>0</v>
      </c>
      <c r="H74" s="9">
        <v>0</v>
      </c>
      <c r="I74" s="9"/>
      <c r="J74" s="9"/>
      <c r="K74" s="9"/>
      <c r="L74" s="9"/>
      <c r="M74" s="9"/>
      <c r="N74" s="9">
        <v>136152</v>
      </c>
    </row>
    <row r="75" spans="1:14" ht="15" hidden="1">
      <c r="A75" s="8" t="str">
        <f>'[1]Budget Annex ÎII (original)'!A55</f>
        <v>1.5 50% of a consultant's time (inception phase)</v>
      </c>
      <c r="B75" s="9" t="str">
        <f>'[1]Budget Annex ÎII (original)'!B55</f>
        <v>Per month</v>
      </c>
      <c r="C75" s="9">
        <v>3</v>
      </c>
      <c r="D75" s="9"/>
      <c r="E75" s="9"/>
      <c r="F75" s="9">
        <v>8000</v>
      </c>
      <c r="G75" s="9">
        <v>0</v>
      </c>
      <c r="H75" s="9">
        <v>0</v>
      </c>
      <c r="I75" s="9"/>
      <c r="J75" s="9"/>
      <c r="K75" s="9"/>
      <c r="L75" s="9"/>
      <c r="M75" s="9"/>
      <c r="N75" s="9">
        <v>24000</v>
      </c>
    </row>
    <row r="76" spans="1:14" ht="15" hidden="1">
      <c r="A76" s="10" t="s">
        <v>7</v>
      </c>
      <c r="B76" s="11"/>
      <c r="C76" s="11"/>
      <c r="D76" s="11"/>
      <c r="E76" s="11"/>
      <c r="F76" s="11"/>
      <c r="G76" s="9">
        <v>50000</v>
      </c>
      <c r="H76" s="9">
        <v>18435.471506135294</v>
      </c>
      <c r="I76" s="9"/>
      <c r="J76" s="9"/>
      <c r="K76" s="9"/>
      <c r="L76" s="9"/>
      <c r="M76" s="9"/>
      <c r="N76" s="9">
        <v>86415.47150613529</v>
      </c>
    </row>
    <row r="77" spans="1:14" ht="15" hidden="1">
      <c r="A77" s="10" t="s">
        <v>8</v>
      </c>
      <c r="B77" s="11"/>
      <c r="C77" s="11"/>
      <c r="D77" s="11"/>
      <c r="E77" s="11"/>
      <c r="F77" s="11"/>
      <c r="G77" s="9">
        <v>4800</v>
      </c>
      <c r="H77" s="9">
        <v>1769.8052645889884</v>
      </c>
      <c r="I77" s="9"/>
      <c r="J77" s="9"/>
      <c r="K77" s="9"/>
      <c r="L77" s="9"/>
      <c r="M77" s="9"/>
      <c r="N77" s="9">
        <v>10884.805264588987</v>
      </c>
    </row>
    <row r="78" spans="1:14" ht="15" hidden="1">
      <c r="A78" s="12" t="s">
        <v>9</v>
      </c>
      <c r="B78" s="11"/>
      <c r="C78" s="11"/>
      <c r="D78" s="11"/>
      <c r="E78" s="11"/>
      <c r="F78" s="11"/>
      <c r="G78" s="9">
        <v>0</v>
      </c>
      <c r="H78" s="9">
        <v>0</v>
      </c>
      <c r="I78" s="9"/>
      <c r="J78" s="9"/>
      <c r="K78" s="9"/>
      <c r="L78" s="9"/>
      <c r="M78" s="9"/>
      <c r="N78" s="9">
        <v>0</v>
      </c>
    </row>
    <row r="79" spans="1:14" ht="15" hidden="1">
      <c r="A79" s="10" t="s">
        <v>10</v>
      </c>
      <c r="B79" s="11"/>
      <c r="C79" s="11"/>
      <c r="D79" s="11"/>
      <c r="E79" s="11"/>
      <c r="F79" s="11"/>
      <c r="G79" s="9">
        <v>627487.5</v>
      </c>
      <c r="H79" s="9">
        <v>180896.02016598562</v>
      </c>
      <c r="I79" s="9"/>
      <c r="J79" s="9"/>
      <c r="K79" s="9"/>
      <c r="L79" s="9"/>
      <c r="M79" s="9"/>
      <c r="N79" s="9">
        <v>1044024.0585341214</v>
      </c>
    </row>
    <row r="80" spans="1:14" ht="15" hidden="1">
      <c r="A80" s="13" t="s">
        <v>11</v>
      </c>
      <c r="B80" s="11"/>
      <c r="C80" s="11"/>
      <c r="D80" s="11"/>
      <c r="E80" s="11"/>
      <c r="F80" s="11"/>
      <c r="G80" s="9">
        <v>50500</v>
      </c>
      <c r="H80" s="9">
        <v>15000</v>
      </c>
      <c r="I80" s="9"/>
      <c r="J80" s="9"/>
      <c r="K80" s="9">
        <v>18000</v>
      </c>
      <c r="L80" s="9">
        <v>17500</v>
      </c>
      <c r="M80" s="9"/>
      <c r="N80" s="9">
        <v>73081.68409738851</v>
      </c>
    </row>
    <row r="81" spans="1:14" ht="15" hidden="1">
      <c r="A81" s="13" t="s">
        <v>12</v>
      </c>
      <c r="B81" s="11"/>
      <c r="C81" s="11"/>
      <c r="D81" s="11"/>
      <c r="E81" s="11"/>
      <c r="F81" s="11"/>
      <c r="G81" s="9">
        <f>G79-G80</f>
        <v>576987.5</v>
      </c>
      <c r="H81" s="9">
        <f>H79-H80</f>
        <v>165896.02016598562</v>
      </c>
      <c r="I81" s="9"/>
      <c r="J81" s="9"/>
      <c r="K81" s="9"/>
      <c r="L81" s="9"/>
      <c r="M81" s="9"/>
      <c r="N81" s="9">
        <v>970942.3744367328</v>
      </c>
    </row>
    <row r="82" spans="1:14" ht="38.25" hidden="1">
      <c r="A82" s="99" t="s">
        <v>67</v>
      </c>
      <c r="B82" s="11"/>
      <c r="C82" s="11"/>
      <c r="D82" s="11"/>
      <c r="E82" s="11"/>
      <c r="F82" s="11"/>
      <c r="G82" s="9"/>
      <c r="H82" s="9"/>
      <c r="I82" s="9"/>
      <c r="J82" s="9"/>
      <c r="K82" s="9"/>
      <c r="L82" s="9"/>
      <c r="M82" s="9"/>
      <c r="N82" s="9"/>
    </row>
    <row r="83" spans="1:14" ht="25.5" hidden="1">
      <c r="A83" s="99" t="s">
        <v>68</v>
      </c>
      <c r="B83" s="11"/>
      <c r="C83" s="11"/>
      <c r="D83" s="11"/>
      <c r="E83" s="11"/>
      <c r="F83" s="11"/>
      <c r="G83" s="9">
        <v>100000</v>
      </c>
      <c r="H83" s="9">
        <v>40000</v>
      </c>
      <c r="I83" s="9"/>
      <c r="J83" s="9"/>
      <c r="K83" s="9">
        <v>60000</v>
      </c>
      <c r="L83" s="9"/>
      <c r="M83" s="9"/>
      <c r="N83" s="9"/>
    </row>
    <row r="84" spans="1:14" ht="25.5" hidden="1">
      <c r="A84" s="99" t="s">
        <v>76</v>
      </c>
      <c r="B84" s="11"/>
      <c r="C84" s="11"/>
      <c r="D84" s="11"/>
      <c r="E84" s="11"/>
      <c r="F84" s="11"/>
      <c r="G84" s="9">
        <v>100000</v>
      </c>
      <c r="H84" s="9">
        <v>30000</v>
      </c>
      <c r="I84" s="9"/>
      <c r="J84" s="9"/>
      <c r="K84" s="9">
        <v>50000</v>
      </c>
      <c r="L84" s="9">
        <v>20000</v>
      </c>
      <c r="M84" s="9"/>
      <c r="N84" s="9"/>
    </row>
    <row r="85" spans="1:14" ht="38.25" hidden="1">
      <c r="A85" s="99" t="s">
        <v>69</v>
      </c>
      <c r="B85" s="11"/>
      <c r="C85" s="11"/>
      <c r="D85" s="11"/>
      <c r="E85" s="11"/>
      <c r="F85" s="11"/>
      <c r="G85" s="9">
        <v>30000</v>
      </c>
      <c r="H85" s="9"/>
      <c r="I85" s="9"/>
      <c r="J85" s="9"/>
      <c r="K85" s="9">
        <v>30000</v>
      </c>
      <c r="L85" s="9"/>
      <c r="M85" s="9"/>
      <c r="N85" s="9"/>
    </row>
    <row r="86" spans="1:14" ht="38.25" hidden="1">
      <c r="A86" s="100" t="s">
        <v>71</v>
      </c>
      <c r="B86" s="11"/>
      <c r="C86" s="11"/>
      <c r="D86" s="11"/>
      <c r="E86" s="11"/>
      <c r="F86" s="11"/>
      <c r="G86" s="9">
        <v>60000</v>
      </c>
      <c r="H86" s="9"/>
      <c r="I86" s="9"/>
      <c r="J86" s="9"/>
      <c r="K86" s="9">
        <v>40000</v>
      </c>
      <c r="L86" s="9">
        <v>20000</v>
      </c>
      <c r="M86" s="9"/>
      <c r="N86" s="9"/>
    </row>
    <row r="87" spans="1:14" ht="51" hidden="1">
      <c r="A87" s="100" t="s">
        <v>70</v>
      </c>
      <c r="B87" s="11"/>
      <c r="C87" s="11"/>
      <c r="D87" s="11"/>
      <c r="E87" s="11"/>
      <c r="F87" s="11"/>
      <c r="G87" s="9">
        <v>60000</v>
      </c>
      <c r="H87" s="9">
        <v>60000</v>
      </c>
      <c r="I87" s="9"/>
      <c r="J87" s="9"/>
      <c r="K87" s="9"/>
      <c r="L87" s="9"/>
      <c r="M87" s="9"/>
      <c r="N87" s="9"/>
    </row>
    <row r="88" spans="1:14" ht="38.25" hidden="1">
      <c r="A88" s="100" t="s">
        <v>77</v>
      </c>
      <c r="B88" s="11"/>
      <c r="C88" s="11"/>
      <c r="D88" s="11"/>
      <c r="E88" s="11"/>
      <c r="F88" s="11"/>
      <c r="G88" s="9">
        <v>76988</v>
      </c>
      <c r="H88" s="9">
        <v>20000</v>
      </c>
      <c r="I88" s="9"/>
      <c r="J88" s="9"/>
      <c r="K88" s="9">
        <v>30000</v>
      </c>
      <c r="L88" s="9">
        <v>26988</v>
      </c>
      <c r="M88" s="9"/>
      <c r="N88" s="9"/>
    </row>
    <row r="89" spans="1:14" ht="25.5" hidden="1">
      <c r="A89" s="100" t="s">
        <v>72</v>
      </c>
      <c r="B89" s="11"/>
      <c r="C89" s="11"/>
      <c r="D89" s="11"/>
      <c r="E89" s="11"/>
      <c r="F89" s="11"/>
      <c r="G89" s="9">
        <v>50000</v>
      </c>
      <c r="H89" s="9">
        <v>10000</v>
      </c>
      <c r="I89" s="9"/>
      <c r="J89" s="9"/>
      <c r="K89" s="9">
        <v>20000</v>
      </c>
      <c r="L89" s="9">
        <v>20000</v>
      </c>
      <c r="M89" s="9"/>
      <c r="N89" s="9"/>
    </row>
    <row r="90" spans="1:14" ht="38.25" hidden="1">
      <c r="A90" s="100" t="s">
        <v>73</v>
      </c>
      <c r="B90" s="11"/>
      <c r="C90" s="11"/>
      <c r="D90" s="11"/>
      <c r="E90" s="11"/>
      <c r="F90" s="11"/>
      <c r="G90" s="9">
        <v>100000</v>
      </c>
      <c r="H90" s="9"/>
      <c r="I90" s="9"/>
      <c r="J90" s="9"/>
      <c r="K90" s="9"/>
      <c r="L90" s="9">
        <v>100000</v>
      </c>
      <c r="M90" s="9"/>
      <c r="N90" s="9"/>
    </row>
    <row r="91" spans="1:14" ht="15" hidden="1">
      <c r="A91" s="10" t="s">
        <v>13</v>
      </c>
      <c r="B91" s="11"/>
      <c r="C91" s="11"/>
      <c r="D91" s="11"/>
      <c r="E91" s="11"/>
      <c r="F91" s="11"/>
      <c r="G91" s="9">
        <f>'[1]1st Instalment (Calculations)'!E83</f>
        <v>0</v>
      </c>
      <c r="H91" s="9">
        <f>'[1]1st Instalment (Calculations)'!F83</f>
        <v>0</v>
      </c>
      <c r="I91" s="9"/>
      <c r="J91" s="9"/>
      <c r="K91" s="9">
        <f>'[1]1st Instalment (Calculations)'!G83</f>
        <v>0</v>
      </c>
      <c r="L91" s="9"/>
      <c r="M91" s="9"/>
      <c r="N91" s="9">
        <f>'[1]1st Instalment (Calculations)'!H83</f>
        <v>0</v>
      </c>
    </row>
    <row r="92" spans="1:14" ht="15.75" hidden="1" thickBot="1">
      <c r="A92" s="14" t="s">
        <v>14</v>
      </c>
      <c r="B92" s="11"/>
      <c r="C92" s="11"/>
      <c r="D92" s="11"/>
      <c r="E92" s="11"/>
      <c r="F92" s="11"/>
      <c r="G92" s="9">
        <f>'[1]1st Instalment (Calculations)'!E84</f>
        <v>916254</v>
      </c>
      <c r="H92" s="9">
        <f>G92*'[1]1st Instalment (Calculations)'!I30</f>
        <v>367188.7905</v>
      </c>
      <c r="I92" s="9"/>
      <c r="J92" s="9"/>
      <c r="K92" s="9">
        <f>'[1]1st Instalment (Calculations)'!G84</f>
        <v>0</v>
      </c>
      <c r="L92" s="9"/>
      <c r="M92" s="9"/>
      <c r="N92" s="9">
        <f>'[1]1st Instalment (Calculations)'!H84</f>
        <v>0</v>
      </c>
    </row>
    <row r="93" spans="1:14" ht="15.75" hidden="1" thickBot="1">
      <c r="A93" s="15" t="s">
        <v>15</v>
      </c>
      <c r="B93" s="16"/>
      <c r="C93" s="16"/>
      <c r="D93" s="16"/>
      <c r="E93" s="16"/>
      <c r="F93" s="16"/>
      <c r="G93" s="56">
        <f>SUM(G71:G79)+G91+G92</f>
        <v>2257307.5</v>
      </c>
      <c r="H93" s="56">
        <f>SUM(H71:H79)+H91+H92</f>
        <v>832323.5002367098</v>
      </c>
      <c r="I93" s="56"/>
      <c r="J93" s="56"/>
      <c r="K93" s="56">
        <f>SUM(K71:K79)+K91+K92</f>
        <v>197366.29359999998</v>
      </c>
      <c r="L93" s="56"/>
      <c r="M93" s="56"/>
      <c r="N93" s="56">
        <f>SUM(N71:N79)+N91+N92</f>
        <v>2574971.57174906</v>
      </c>
    </row>
    <row r="94" spans="1:14" ht="26.25" hidden="1" thickBot="1">
      <c r="A94" s="17" t="s">
        <v>16</v>
      </c>
      <c r="B94" s="18"/>
      <c r="C94" s="18"/>
      <c r="D94" s="18"/>
      <c r="E94" s="18"/>
      <c r="F94" s="18"/>
      <c r="G94" s="55">
        <f>ROUND(G93*0.07,0)</f>
        <v>158012</v>
      </c>
      <c r="H94" s="55">
        <f>ROUND(H93*0.07,0)</f>
        <v>58263</v>
      </c>
      <c r="I94" s="55"/>
      <c r="J94" s="55"/>
      <c r="K94" s="55">
        <f>ROUND(K93*0.07,0)</f>
        <v>13816</v>
      </c>
      <c r="L94" s="55"/>
      <c r="M94" s="55"/>
      <c r="N94" s="54">
        <f>G94+K94</f>
        <v>171828</v>
      </c>
    </row>
    <row r="95" spans="1:14" ht="38.25" hidden="1">
      <c r="A95" s="19" t="s">
        <v>17</v>
      </c>
      <c r="B95" s="20"/>
      <c r="C95" s="20"/>
      <c r="D95" s="20"/>
      <c r="E95" s="20"/>
      <c r="F95" s="20"/>
      <c r="G95" s="53">
        <f>G93+G94</f>
        <v>2415319.5</v>
      </c>
      <c r="H95" s="53">
        <f>H106+H107</f>
        <v>967939.10433773</v>
      </c>
      <c r="I95" s="53"/>
      <c r="J95" s="53"/>
      <c r="K95" s="53">
        <f>K93+K94</f>
        <v>211182.29359999998</v>
      </c>
      <c r="L95" s="53"/>
      <c r="M95" s="53"/>
      <c r="N95" s="53">
        <f>G95+K95</f>
        <v>2626501.7936</v>
      </c>
    </row>
    <row r="96" spans="1:14" ht="15" hidden="1">
      <c r="A96" s="21" t="s">
        <v>18</v>
      </c>
      <c r="B96" s="21"/>
      <c r="C96" s="21"/>
      <c r="D96" s="21"/>
      <c r="E96" s="21"/>
      <c r="F96" s="21"/>
      <c r="G96" s="21"/>
      <c r="H96" s="37">
        <f>'[1]1st Instalment (Calculations)'!F88</f>
        <v>567189.289625</v>
      </c>
      <c r="I96" s="37"/>
      <c r="J96" s="37"/>
      <c r="K96" s="21"/>
      <c r="L96" s="21"/>
      <c r="M96" s="21"/>
      <c r="N96" s="21"/>
    </row>
    <row r="97" spans="1:14" ht="15" hidden="1">
      <c r="A97" s="22" t="s">
        <v>5</v>
      </c>
      <c r="B97" s="22"/>
      <c r="C97" s="22"/>
      <c r="D97" s="22"/>
      <c r="E97" s="22"/>
      <c r="F97" s="22"/>
      <c r="G97" s="22"/>
      <c r="H97" s="38">
        <f>'[1]1st Instalment (Calculations)'!F89</f>
        <v>523362.11077227973</v>
      </c>
      <c r="I97" s="38"/>
      <c r="J97" s="38"/>
      <c r="K97" s="22"/>
      <c r="L97" s="22"/>
      <c r="M97" s="22"/>
      <c r="N97" s="22"/>
    </row>
    <row r="98" spans="1:14" ht="15" hidden="1">
      <c r="A98" s="21" t="s">
        <v>19</v>
      </c>
      <c r="B98" s="21"/>
      <c r="C98" s="21"/>
      <c r="D98" s="21"/>
      <c r="E98" s="21"/>
      <c r="F98" s="21"/>
      <c r="G98" s="21"/>
      <c r="H98" s="37">
        <f>H96-H97</f>
        <v>43827.178852720244</v>
      </c>
      <c r="I98" s="37"/>
      <c r="J98" s="37"/>
      <c r="K98" s="21"/>
      <c r="L98" s="21"/>
      <c r="M98" s="21"/>
      <c r="N98" s="21"/>
    </row>
    <row r="99" spans="1:14" ht="15" hidden="1">
      <c r="A99" s="21" t="s">
        <v>20</v>
      </c>
      <c r="B99" s="21"/>
      <c r="C99" s="21"/>
      <c r="D99" s="21"/>
      <c r="E99" s="21"/>
      <c r="F99" s="21"/>
      <c r="G99" s="21"/>
      <c r="H99" s="37" t="e">
        <f>($G$95-1000000)*$P$21</f>
        <v>#VALUE!</v>
      </c>
      <c r="I99" s="37"/>
      <c r="J99" s="37"/>
      <c r="K99" s="21"/>
      <c r="L99" s="21"/>
      <c r="M99" s="21"/>
      <c r="N99" s="21"/>
    </row>
    <row r="100" spans="1:14" ht="15" hidden="1">
      <c r="A100" s="22" t="s">
        <v>21</v>
      </c>
      <c r="B100" s="22"/>
      <c r="C100" s="22"/>
      <c r="D100" s="22"/>
      <c r="E100" s="22"/>
      <c r="F100" s="22"/>
      <c r="G100" s="22"/>
      <c r="H100" s="38">
        <f>K29</f>
        <v>2239.4709272946425</v>
      </c>
      <c r="I100" s="38"/>
      <c r="J100" s="38"/>
      <c r="K100" s="22"/>
      <c r="L100" s="22"/>
      <c r="M100" s="22"/>
      <c r="N100" s="22"/>
    </row>
    <row r="101" spans="1:14" ht="15" hidden="1">
      <c r="A101" s="21" t="s">
        <v>22</v>
      </c>
      <c r="B101" s="21"/>
      <c r="C101" s="21"/>
      <c r="D101" s="21"/>
      <c r="E101" s="21"/>
      <c r="F101" s="21"/>
      <c r="G101" s="21"/>
      <c r="H101" s="37" t="e">
        <f>H99-H100</f>
        <v>#VALUE!</v>
      </c>
      <c r="I101" s="37"/>
      <c r="J101" s="37"/>
      <c r="K101" s="21"/>
      <c r="L101" s="21"/>
      <c r="M101" s="21"/>
      <c r="N101" s="21"/>
    </row>
    <row r="102" spans="1:14" ht="15" hidden="1">
      <c r="A102" s="21" t="s">
        <v>23</v>
      </c>
      <c r="B102" s="21"/>
      <c r="C102" s="21"/>
      <c r="D102" s="21"/>
      <c r="E102" s="21"/>
      <c r="F102" s="21"/>
      <c r="G102" s="21"/>
      <c r="H102" s="37" t="e">
        <f>H99</f>
        <v>#VALUE!</v>
      </c>
      <c r="I102" s="37"/>
      <c r="J102" s="37"/>
      <c r="K102" s="21"/>
      <c r="L102" s="21"/>
      <c r="M102" s="21"/>
      <c r="N102" s="21"/>
    </row>
    <row r="103" spans="1:14" ht="15" hidden="1">
      <c r="A103" s="22" t="s">
        <v>24</v>
      </c>
      <c r="B103" s="22"/>
      <c r="C103" s="22"/>
      <c r="D103" s="22"/>
      <c r="E103" s="22"/>
      <c r="F103" s="22"/>
      <c r="G103" s="22"/>
      <c r="H103" s="38">
        <f>H100</f>
        <v>2239.4709272946425</v>
      </c>
      <c r="I103" s="38"/>
      <c r="J103" s="38"/>
      <c r="K103" s="22"/>
      <c r="L103" s="22"/>
      <c r="M103" s="22"/>
      <c r="N103" s="22"/>
    </row>
    <row r="104" spans="1:14" ht="15" hidden="1">
      <c r="A104" s="21" t="s">
        <v>25</v>
      </c>
      <c r="B104" s="21"/>
      <c r="C104" s="21"/>
      <c r="D104" s="21"/>
      <c r="E104" s="21"/>
      <c r="F104" s="21"/>
      <c r="G104" s="21"/>
      <c r="H104" s="37" t="e">
        <f>H102-H103</f>
        <v>#VALUE!</v>
      </c>
      <c r="I104" s="37"/>
      <c r="J104" s="37"/>
      <c r="K104" s="21"/>
      <c r="L104" s="21"/>
      <c r="M104" s="21"/>
      <c r="N104" s="21"/>
    </row>
    <row r="105" spans="1:14" ht="15" hidden="1">
      <c r="A105" s="23" t="s">
        <v>26</v>
      </c>
      <c r="B105" s="23"/>
      <c r="C105" s="23"/>
      <c r="D105" s="23"/>
      <c r="E105" s="23"/>
      <c r="F105" s="23"/>
      <c r="G105" s="23"/>
      <c r="H105" s="35">
        <f>'[1]1st Instalment (Calculations)'!E98</f>
        <v>1222210.6082901554</v>
      </c>
      <c r="I105" s="35"/>
      <c r="J105" s="35"/>
      <c r="K105" s="23"/>
      <c r="L105" s="23"/>
      <c r="M105" s="23"/>
      <c r="N105" s="23"/>
    </row>
    <row r="106" spans="1:14" ht="15" hidden="1">
      <c r="A106" s="23" t="s">
        <v>27</v>
      </c>
      <c r="B106" s="23"/>
      <c r="C106" s="23"/>
      <c r="D106" s="23"/>
      <c r="E106" s="23"/>
      <c r="F106" s="23"/>
      <c r="G106" s="35">
        <f>'[1]1st Instalment (Calculations)'!E98</f>
        <v>1222210.6082901554</v>
      </c>
      <c r="H106" s="35">
        <f>'[1]1st Instalment (Calculations)'!F98</f>
        <v>890550.5619367098</v>
      </c>
      <c r="I106" s="35"/>
      <c r="J106" s="35"/>
      <c r="K106" s="24"/>
      <c r="L106" s="24"/>
      <c r="M106" s="24"/>
      <c r="N106" s="23"/>
    </row>
    <row r="107" spans="1:14" ht="15" hidden="1">
      <c r="A107" s="23" t="s">
        <v>28</v>
      </c>
      <c r="B107" s="23"/>
      <c r="C107" s="23"/>
      <c r="D107" s="23"/>
      <c r="E107" s="23"/>
      <c r="F107" s="23"/>
      <c r="G107" s="35">
        <f>'[1]1st Instalment (Calculations)'!E99</f>
        <v>193109.27610984445</v>
      </c>
      <c r="H107" s="35">
        <f>'[1]1st Instalment (Calculations)'!F99</f>
        <v>77388.54240102015</v>
      </c>
      <c r="I107" s="35"/>
      <c r="J107" s="35"/>
      <c r="K107" s="23"/>
      <c r="L107" s="23"/>
      <c r="M107" s="23"/>
      <c r="N107" s="23"/>
    </row>
    <row r="108" spans="1:14" ht="15" hidden="1">
      <c r="A108" s="23" t="s">
        <v>29</v>
      </c>
      <c r="B108" s="23"/>
      <c r="C108" s="23"/>
      <c r="D108" s="23"/>
      <c r="E108" s="23"/>
      <c r="F108" s="23"/>
      <c r="G108" s="24">
        <f>'[1]1st Instalment (Calculations)'!E100</f>
        <v>0.15799999999999992</v>
      </c>
      <c r="H108" s="24">
        <f>'[1]1st Instalment (Calculations)'!F100</f>
        <v>0.1580001094629614</v>
      </c>
      <c r="I108" s="24"/>
      <c r="J108" s="24"/>
      <c r="K108" s="23"/>
      <c r="L108" s="23"/>
      <c r="M108" s="23"/>
      <c r="N108" s="23"/>
    </row>
    <row r="109" spans="1:14" ht="15.75" hidden="1" thickBo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" hidden="1">
      <c r="A110" s="141" t="s">
        <v>48</v>
      </c>
      <c r="B110" s="145"/>
      <c r="C110" s="145"/>
      <c r="D110" s="145"/>
      <c r="E110" s="145"/>
      <c r="F110" s="145"/>
      <c r="G110" s="145"/>
      <c r="H110" s="142"/>
      <c r="I110" s="103"/>
      <c r="J110" s="103"/>
      <c r="K110" s="135" t="s">
        <v>47</v>
      </c>
      <c r="L110" s="46"/>
      <c r="M110" s="46"/>
      <c r="N110" s="26"/>
    </row>
    <row r="111" spans="1:14" ht="15" hidden="1">
      <c r="A111" s="141"/>
      <c r="B111" s="145"/>
      <c r="C111" s="145"/>
      <c r="D111" s="145"/>
      <c r="E111" s="145"/>
      <c r="F111" s="145"/>
      <c r="G111" s="145"/>
      <c r="H111" s="142"/>
      <c r="I111" s="103"/>
      <c r="J111" s="103"/>
      <c r="K111" s="136"/>
      <c r="L111" s="46"/>
      <c r="M111" s="46"/>
      <c r="N111" s="26"/>
    </row>
    <row r="112" spans="1:14" ht="15.75" hidden="1" thickBot="1">
      <c r="A112" s="141"/>
      <c r="B112" s="145"/>
      <c r="C112" s="145"/>
      <c r="D112" s="145"/>
      <c r="E112" s="145"/>
      <c r="F112" s="145"/>
      <c r="G112" s="145"/>
      <c r="H112" s="142"/>
      <c r="I112" s="103"/>
      <c r="J112" s="103"/>
      <c r="K112" s="137"/>
      <c r="L112" s="46"/>
      <c r="M112" s="46"/>
      <c r="N112" s="26"/>
    </row>
    <row r="113" spans="1:14" ht="15.75" hidden="1" thickBot="1">
      <c r="A113" s="51"/>
      <c r="B113" s="50" t="s">
        <v>1</v>
      </c>
      <c r="C113" s="49" t="s">
        <v>2</v>
      </c>
      <c r="D113" s="49"/>
      <c r="E113" s="49"/>
      <c r="F113" s="48" t="s">
        <v>3</v>
      </c>
      <c r="G113" s="48" t="s">
        <v>4</v>
      </c>
      <c r="H113" s="47" t="s">
        <v>5</v>
      </c>
      <c r="I113" s="103"/>
      <c r="J113" s="103"/>
      <c r="K113" s="46"/>
      <c r="L113" s="46"/>
      <c r="M113" s="46"/>
      <c r="N113" s="26"/>
    </row>
    <row r="114" spans="1:14" ht="15" hidden="1">
      <c r="A114" s="45" t="s">
        <v>6</v>
      </c>
      <c r="B114" s="9"/>
      <c r="C114" s="9"/>
      <c r="D114" s="9"/>
      <c r="E114" s="9"/>
      <c r="F114" s="9"/>
      <c r="G114" s="9"/>
      <c r="H114" s="9"/>
      <c r="I114" s="9"/>
      <c r="J114" s="9"/>
      <c r="K114" s="6"/>
      <c r="L114" s="9"/>
      <c r="M114" s="9"/>
      <c r="N114" s="9"/>
    </row>
    <row r="115" spans="1:14" ht="15" hidden="1">
      <c r="A115" s="8" t="str">
        <f>'[1]Budget Annex ÎII (original)'!A78</f>
        <v>1.1 Project Manager (P5 step 3) 50%</v>
      </c>
      <c r="B115" s="9" t="str">
        <f>'[1]Budget Annex ÎII (original)'!B78</f>
        <v>Per month</v>
      </c>
      <c r="C115" s="9">
        <f>'[1]1st Instalment (Calculations)'!C107</f>
        <v>44</v>
      </c>
      <c r="D115" s="9"/>
      <c r="E115" s="9"/>
      <c r="F115" s="9">
        <f>'[1]1st Instalment (Calculations)'!D107</f>
        <v>19235.903000000002</v>
      </c>
      <c r="G115" s="9">
        <f>'[1]1st Instalment (Calculations)'!E107</f>
        <v>423190</v>
      </c>
      <c r="H115" s="9">
        <f>G115*'[1]1st Instalment (Calculations)'!I29</f>
        <v>169593.3925</v>
      </c>
      <c r="I115" s="9"/>
      <c r="J115" s="9"/>
      <c r="K115" s="9">
        <f>'[1]1st Instalment (Calculations)'!G107</f>
        <v>423190</v>
      </c>
      <c r="L115" s="9"/>
      <c r="M115" s="9"/>
      <c r="N115" s="44"/>
    </row>
    <row r="116" spans="1:14" ht="15" hidden="1">
      <c r="A116" s="8" t="str">
        <f>'[1]Budget Annex ÎII (original)'!A79</f>
        <v>1.2 Administrative support staff (G5 step 8) 50%</v>
      </c>
      <c r="B116" s="9" t="str">
        <f>'[1]Budget Annex ÎII (original)'!B79</f>
        <v>Per month</v>
      </c>
      <c r="C116" s="9">
        <f>'[1]1st Instalment (Calculations)'!C108</f>
        <v>44</v>
      </c>
      <c r="D116" s="9"/>
      <c r="E116" s="9"/>
      <c r="F116" s="9">
        <f>'[1]1st Instalment (Calculations)'!D108</f>
        <v>10707.989</v>
      </c>
      <c r="G116" s="9">
        <f>'[1]1st Instalment (Calculations)'!E108</f>
        <v>235576</v>
      </c>
      <c r="H116" s="9">
        <f>G116*'[1]1st Instalment (Calculations)'!I29</f>
        <v>94407.08199999998</v>
      </c>
      <c r="I116" s="9"/>
      <c r="J116" s="9"/>
      <c r="K116" s="9">
        <f>'[1]1st Instalment (Calculations)'!G108</f>
        <v>235576</v>
      </c>
      <c r="L116" s="9"/>
      <c r="M116" s="9"/>
      <c r="N116" s="44"/>
    </row>
    <row r="117" spans="1:14" ht="25.5" hidden="1">
      <c r="A117" s="8" t="str">
        <f>'[1]Budget Annex ÎII (original)'!A80</f>
        <v>1.3 Workmonths technical experts (Actuarial, Statistical, Public Finance) - P3</v>
      </c>
      <c r="B117" s="9" t="str">
        <f>'[1]Budget Annex ÎII (original)'!B80</f>
        <v>Per month</v>
      </c>
      <c r="C117" s="9">
        <f>'[1]1st Instalment (Calculations)'!C109</f>
        <v>25</v>
      </c>
      <c r="D117" s="9"/>
      <c r="E117" s="9"/>
      <c r="F117" s="9">
        <f>'[1]1st Instalment (Calculations)'!D109</f>
        <v>14655.07</v>
      </c>
      <c r="G117" s="9">
        <f>'[1]1st Instalment (Calculations)'!E109</f>
        <v>366377</v>
      </c>
      <c r="H117" s="9">
        <f>'[1]1st Instalment (Calculations)'!F109</f>
        <v>126755.90918567493</v>
      </c>
      <c r="I117" s="9"/>
      <c r="J117" s="9"/>
      <c r="K117" s="9">
        <f>'[1]1st Instalment (Calculations)'!G109</f>
        <v>366377</v>
      </c>
      <c r="L117" s="9"/>
      <c r="M117" s="9"/>
      <c r="N117" s="44"/>
    </row>
    <row r="118" spans="1:14" ht="25.5" hidden="1">
      <c r="A118" s="8" t="str">
        <f>'[1]Budget Annex ÎII (original)'!A81</f>
        <v>1.4 Workmonths technical experts (Legal, Policy, Communication) - P3</v>
      </c>
      <c r="B118" s="9" t="str">
        <f>'[1]Budget Annex ÎII (original)'!B81</f>
        <v>Per month</v>
      </c>
      <c r="C118" s="9">
        <f>'[1]1st Instalment (Calculations)'!C110</f>
        <v>26</v>
      </c>
      <c r="D118" s="9"/>
      <c r="E118" s="9"/>
      <c r="F118" s="9">
        <f>'[1]1st Instalment (Calculations)'!D110</f>
        <v>14656.07</v>
      </c>
      <c r="G118" s="9">
        <f>'[1]1st Instalment (Calculations)'!E110</f>
        <v>381058</v>
      </c>
      <c r="H118" s="9">
        <f>'[1]1st Instalment (Calculations)'!F110</f>
        <v>131835.11312793902</v>
      </c>
      <c r="I118" s="9"/>
      <c r="J118" s="9"/>
      <c r="K118" s="9">
        <f>'[1]1st Instalment (Calculations)'!G110</f>
        <v>381058</v>
      </c>
      <c r="L118" s="9"/>
      <c r="M118" s="9"/>
      <c r="N118" s="44"/>
    </row>
    <row r="119" spans="1:14" ht="15" hidden="1">
      <c r="A119" s="10" t="s">
        <v>7</v>
      </c>
      <c r="B119" s="11"/>
      <c r="C119" s="11"/>
      <c r="D119" s="11"/>
      <c r="E119" s="11"/>
      <c r="F119" s="11"/>
      <c r="G119" s="9">
        <f>'[1]1st Instalment (Calculations)'!E111</f>
        <v>170000</v>
      </c>
      <c r="H119" s="9">
        <f>'[1]1st Instalment (Calculations)'!F111</f>
        <v>58815.11274333471</v>
      </c>
      <c r="I119" s="9"/>
      <c r="J119" s="9"/>
      <c r="K119" s="9">
        <f>'[1]1st Instalment (Calculations)'!G111</f>
        <v>170000</v>
      </c>
      <c r="L119" s="9"/>
      <c r="M119" s="9"/>
      <c r="N119" s="44"/>
    </row>
    <row r="120" spans="1:14" ht="15" hidden="1">
      <c r="A120" s="10" t="s">
        <v>8</v>
      </c>
      <c r="B120" s="11"/>
      <c r="C120" s="11"/>
      <c r="D120" s="11"/>
      <c r="E120" s="11"/>
      <c r="F120" s="11"/>
      <c r="G120" s="9">
        <f>'[1]1st Instalment (Calculations)'!E112</f>
        <v>20000</v>
      </c>
      <c r="H120" s="9">
        <f>'[1]1st Instalment (Calculations)'!F112</f>
        <v>6919.425028627612</v>
      </c>
      <c r="I120" s="9"/>
      <c r="J120" s="9"/>
      <c r="K120" s="9">
        <f>'[1]1st Instalment (Calculations)'!G112</f>
        <v>20000</v>
      </c>
      <c r="L120" s="9"/>
      <c r="M120" s="9"/>
      <c r="N120" s="44"/>
    </row>
    <row r="121" spans="1:14" ht="15" hidden="1">
      <c r="A121" s="12" t="s">
        <v>9</v>
      </c>
      <c r="B121" s="11"/>
      <c r="C121" s="11"/>
      <c r="D121" s="11"/>
      <c r="E121" s="11"/>
      <c r="F121" s="11"/>
      <c r="G121" s="9">
        <f>'[1]1st Instalment (Calculations)'!E113</f>
        <v>0</v>
      </c>
      <c r="H121" s="9">
        <f>'[1]1st Instalment (Calculations)'!F113</f>
        <v>0</v>
      </c>
      <c r="I121" s="9"/>
      <c r="J121" s="9"/>
      <c r="K121" s="9">
        <f>'[1]1st Instalment (Calculations)'!G113</f>
        <v>0</v>
      </c>
      <c r="L121" s="9"/>
      <c r="M121" s="9"/>
      <c r="N121" s="44"/>
    </row>
    <row r="122" spans="1:14" ht="15" hidden="1">
      <c r="A122" s="10" t="s">
        <v>10</v>
      </c>
      <c r="B122" s="11"/>
      <c r="C122" s="11"/>
      <c r="D122" s="11"/>
      <c r="E122" s="11"/>
      <c r="F122" s="11"/>
      <c r="G122" s="9">
        <f>'[1]1st Instalment (Calculations)'!E114</f>
        <v>2956279</v>
      </c>
      <c r="H122" s="9">
        <f>SUM(H123:H124)</f>
        <v>986701.1681307552</v>
      </c>
      <c r="I122" s="9"/>
      <c r="J122" s="9"/>
      <c r="K122" s="9">
        <f>'[1]1st Instalment (Calculations)'!G114</f>
        <v>2956279</v>
      </c>
      <c r="L122" s="9"/>
      <c r="M122" s="9"/>
      <c r="N122" s="44"/>
    </row>
    <row r="123" spans="1:14" ht="15" hidden="1">
      <c r="A123" s="13" t="s">
        <v>11</v>
      </c>
      <c r="B123" s="11"/>
      <c r="C123" s="11"/>
      <c r="D123" s="11"/>
      <c r="E123" s="11"/>
      <c r="F123" s="11"/>
      <c r="G123" s="9">
        <f>'[1]1st Instalment (Calculations)'!E115</f>
        <v>206939.53000000003</v>
      </c>
      <c r="H123" s="9">
        <f>'[1]1st Instalment (Calculations)'!F115</f>
        <v>71595.12816472174</v>
      </c>
      <c r="I123" s="9"/>
      <c r="J123" s="9"/>
      <c r="K123" s="9">
        <f>'[1]1st Instalment (Calculations)'!G115</f>
        <v>206939.53000000003</v>
      </c>
      <c r="L123" s="9"/>
      <c r="M123" s="9"/>
      <c r="N123" s="44"/>
    </row>
    <row r="124" spans="1:14" ht="15" hidden="1">
      <c r="A124" s="13" t="s">
        <v>12</v>
      </c>
      <c r="B124" s="11"/>
      <c r="C124" s="11"/>
      <c r="D124" s="11"/>
      <c r="E124" s="11"/>
      <c r="F124" s="11"/>
      <c r="G124" s="9">
        <f>'[1]1st Instalment (Calculations)'!E116</f>
        <v>2749339.4699999997</v>
      </c>
      <c r="H124" s="9">
        <f>'[1]1st Instalment (Calculations)'!F116-F152-F153</f>
        <v>915106.0399660334</v>
      </c>
      <c r="I124" s="9"/>
      <c r="J124" s="9"/>
      <c r="K124" s="9">
        <f>'[1]1st Instalment (Calculations)'!G116</f>
        <v>2749339.4699999997</v>
      </c>
      <c r="L124" s="9"/>
      <c r="M124" s="9"/>
      <c r="N124" s="44"/>
    </row>
    <row r="125" spans="1:14" ht="15.75" hidden="1" thickBot="1">
      <c r="A125" s="10" t="s">
        <v>13</v>
      </c>
      <c r="B125" s="11"/>
      <c r="C125" s="11"/>
      <c r="D125" s="11"/>
      <c r="E125" s="11"/>
      <c r="F125" s="11"/>
      <c r="G125" s="9">
        <f>'[1]1st Instalment (Calculations)'!E117</f>
        <v>0</v>
      </c>
      <c r="H125" s="9">
        <f>'[1]1st Instalment (Calculations)'!F117</f>
        <v>0</v>
      </c>
      <c r="I125" s="9"/>
      <c r="J125" s="9"/>
      <c r="K125" s="9">
        <f>'[1]1st Instalment (Calculations)'!G117</f>
        <v>0</v>
      </c>
      <c r="L125" s="9"/>
      <c r="M125" s="9"/>
      <c r="N125" s="44"/>
    </row>
    <row r="126" spans="1:14" ht="15.75" hidden="1" thickBot="1">
      <c r="A126" s="15" t="s">
        <v>46</v>
      </c>
      <c r="B126" s="43"/>
      <c r="C126" s="43"/>
      <c r="D126" s="43"/>
      <c r="E126" s="43"/>
      <c r="F126" s="43"/>
      <c r="G126" s="42">
        <f>SUM(G115:G122)+G125</f>
        <v>4552480</v>
      </c>
      <c r="H126" s="42">
        <f>SUM(H115:H122)+H125</f>
        <v>1575027.2027163315</v>
      </c>
      <c r="I126" s="42"/>
      <c r="J126" s="42"/>
      <c r="K126" s="42">
        <f>SUM(K115:K122)+K125</f>
        <v>4552480</v>
      </c>
      <c r="L126" s="42"/>
      <c r="M126" s="42"/>
      <c r="N126" s="42"/>
    </row>
    <row r="127" spans="1:14" ht="26.25" hidden="1" thickBot="1">
      <c r="A127" s="17" t="s">
        <v>45</v>
      </c>
      <c r="B127" s="18"/>
      <c r="C127" s="18"/>
      <c r="D127" s="18"/>
      <c r="E127" s="18"/>
      <c r="F127" s="18"/>
      <c r="G127" s="41">
        <f>ROUND(G126*0.07,0)</f>
        <v>318674</v>
      </c>
      <c r="H127" s="41">
        <f>ROUND(H126*0.07,0)</f>
        <v>110252</v>
      </c>
      <c r="I127" s="41"/>
      <c r="J127" s="41"/>
      <c r="K127" s="41">
        <f>ROUND(K126*0.07,0)</f>
        <v>318674</v>
      </c>
      <c r="L127" s="41"/>
      <c r="M127" s="41"/>
      <c r="N127" s="41"/>
    </row>
    <row r="128" spans="1:14" ht="38.25" hidden="1">
      <c r="A128" s="19" t="s">
        <v>44</v>
      </c>
      <c r="B128" s="40"/>
      <c r="C128" s="40"/>
      <c r="D128" s="40"/>
      <c r="E128" s="40"/>
      <c r="F128" s="40"/>
      <c r="G128" s="39">
        <f>G126+G127</f>
        <v>4871154</v>
      </c>
      <c r="H128" s="39">
        <f>H140+H141</f>
        <v>1952115.0613098568</v>
      </c>
      <c r="I128" s="39"/>
      <c r="J128" s="39"/>
      <c r="K128" s="39">
        <f>K126+K127</f>
        <v>4871154</v>
      </c>
      <c r="L128" s="39"/>
      <c r="M128" s="39"/>
      <c r="N128" s="39"/>
    </row>
    <row r="129" spans="1:14" ht="15" hidden="1">
      <c r="A129" s="21" t="s">
        <v>18</v>
      </c>
      <c r="B129" s="21"/>
      <c r="C129" s="21"/>
      <c r="D129" s="21"/>
      <c r="E129" s="21"/>
      <c r="F129" s="21"/>
      <c r="G129" s="21"/>
      <c r="H129" s="37">
        <f>($G$128)*$O$21</f>
        <v>0</v>
      </c>
      <c r="I129" s="37"/>
      <c r="J129" s="37"/>
      <c r="K129" s="21"/>
      <c r="L129" s="21"/>
      <c r="M129" s="21"/>
      <c r="N129" s="21"/>
    </row>
    <row r="130" spans="1:14" ht="15" hidden="1">
      <c r="A130" s="22" t="s">
        <v>5</v>
      </c>
      <c r="B130" s="22"/>
      <c r="C130" s="22"/>
      <c r="D130" s="22"/>
      <c r="E130" s="22"/>
      <c r="F130" s="22"/>
      <c r="G130" s="22"/>
      <c r="H130" s="38">
        <f>H28</f>
        <v>35679</v>
      </c>
      <c r="I130" s="38"/>
      <c r="J130" s="38"/>
      <c r="K130" s="22"/>
      <c r="L130" s="22"/>
      <c r="M130" s="22"/>
      <c r="N130" s="22"/>
    </row>
    <row r="131" spans="1:14" ht="15" hidden="1">
      <c r="A131" s="21" t="s">
        <v>19</v>
      </c>
      <c r="B131" s="21"/>
      <c r="C131" s="21"/>
      <c r="D131" s="21"/>
      <c r="E131" s="21"/>
      <c r="F131" s="21"/>
      <c r="G131" s="21"/>
      <c r="H131" s="37">
        <f>H129-H130</f>
        <v>-35679</v>
      </c>
      <c r="I131" s="37"/>
      <c r="J131" s="37"/>
      <c r="K131" s="21"/>
      <c r="L131" s="21"/>
      <c r="M131" s="21"/>
      <c r="N131" s="21"/>
    </row>
    <row r="132" spans="1:14" ht="15" hidden="1">
      <c r="A132" s="21" t="s">
        <v>20</v>
      </c>
      <c r="B132" s="21"/>
      <c r="C132" s="21"/>
      <c r="D132" s="21"/>
      <c r="E132" s="21"/>
      <c r="F132" s="21"/>
      <c r="G132" s="21"/>
      <c r="H132" s="37" t="e">
        <f>($G$128)*$P$21</f>
        <v>#VALUE!</v>
      </c>
      <c r="I132" s="37"/>
      <c r="J132" s="37"/>
      <c r="K132" s="21"/>
      <c r="L132" s="21"/>
      <c r="M132" s="21"/>
      <c r="N132" s="21"/>
    </row>
    <row r="133" spans="1:14" ht="15" hidden="1">
      <c r="A133" s="22" t="s">
        <v>21</v>
      </c>
      <c r="B133" s="22"/>
      <c r="C133" s="22"/>
      <c r="D133" s="22"/>
      <c r="E133" s="22"/>
      <c r="F133" s="22"/>
      <c r="G133" s="22"/>
      <c r="H133" s="38">
        <f>K28</f>
        <v>12343.902860334552</v>
      </c>
      <c r="I133" s="38"/>
      <c r="J133" s="38"/>
      <c r="K133" s="22"/>
      <c r="L133" s="22"/>
      <c r="M133" s="22"/>
      <c r="N133" s="22"/>
    </row>
    <row r="134" spans="1:14" ht="15" hidden="1">
      <c r="A134" s="21" t="s">
        <v>22</v>
      </c>
      <c r="B134" s="21"/>
      <c r="C134" s="21"/>
      <c r="D134" s="21"/>
      <c r="E134" s="21"/>
      <c r="F134" s="21"/>
      <c r="G134" s="21"/>
      <c r="H134" s="37" t="e">
        <f>H132-H133</f>
        <v>#VALUE!</v>
      </c>
      <c r="I134" s="37"/>
      <c r="J134" s="37"/>
      <c r="K134" s="21"/>
      <c r="L134" s="21"/>
      <c r="M134" s="21"/>
      <c r="N134" s="21"/>
    </row>
    <row r="135" spans="1:14" ht="15" hidden="1">
      <c r="A135" s="21" t="s">
        <v>23</v>
      </c>
      <c r="B135" s="21"/>
      <c r="C135" s="21"/>
      <c r="D135" s="21"/>
      <c r="E135" s="21"/>
      <c r="F135" s="21"/>
      <c r="G135" s="21"/>
      <c r="H135" s="37" t="e">
        <f>H132</f>
        <v>#VALUE!</v>
      </c>
      <c r="I135" s="37"/>
      <c r="J135" s="37"/>
      <c r="K135" s="21"/>
      <c r="L135" s="21"/>
      <c r="M135" s="21"/>
      <c r="N135" s="21"/>
    </row>
    <row r="136" spans="1:14" ht="15" hidden="1">
      <c r="A136" s="22" t="s">
        <v>24</v>
      </c>
      <c r="B136" s="22"/>
      <c r="C136" s="22"/>
      <c r="D136" s="22"/>
      <c r="E136" s="22"/>
      <c r="F136" s="22"/>
      <c r="G136" s="22"/>
      <c r="H136" s="38">
        <f>H133</f>
        <v>12343.902860334552</v>
      </c>
      <c r="I136" s="38"/>
      <c r="J136" s="38"/>
      <c r="K136" s="22"/>
      <c r="L136" s="22"/>
      <c r="M136" s="22"/>
      <c r="N136" s="22"/>
    </row>
    <row r="137" spans="1:14" ht="15" hidden="1">
      <c r="A137" s="21" t="s">
        <v>25</v>
      </c>
      <c r="B137" s="21"/>
      <c r="C137" s="21"/>
      <c r="D137" s="21"/>
      <c r="E137" s="21"/>
      <c r="F137" s="21"/>
      <c r="G137" s="21"/>
      <c r="H137" s="37" t="e">
        <f>H135-H136</f>
        <v>#VALUE!</v>
      </c>
      <c r="I137" s="37"/>
      <c r="J137" s="37"/>
      <c r="K137" s="21"/>
      <c r="L137" s="21"/>
      <c r="M137" s="21"/>
      <c r="N137" s="21"/>
    </row>
    <row r="138" spans="1:14" ht="15" hidden="1">
      <c r="A138" s="23" t="s">
        <v>26</v>
      </c>
      <c r="B138" s="23"/>
      <c r="C138" s="23"/>
      <c r="D138" s="23"/>
      <c r="E138" s="23"/>
      <c r="F138" s="23"/>
      <c r="G138" s="23"/>
      <c r="H138" s="35" t="e">
        <f>SUM(H137,H134,H131)</f>
        <v>#VALUE!</v>
      </c>
      <c r="I138" s="35"/>
      <c r="J138" s="35"/>
      <c r="K138" s="23"/>
      <c r="L138" s="23"/>
      <c r="M138" s="23"/>
      <c r="N138" s="23"/>
    </row>
    <row r="139" spans="1:14" ht="15" hidden="1">
      <c r="A139" s="21" t="s">
        <v>43</v>
      </c>
      <c r="B139" s="21"/>
      <c r="C139" s="21"/>
      <c r="D139" s="21"/>
      <c r="E139" s="21"/>
      <c r="F139" s="21"/>
      <c r="G139" s="21"/>
      <c r="H139" s="36" t="e">
        <f>H138/G28</f>
        <v>#VALUE!</v>
      </c>
      <c r="I139" s="36"/>
      <c r="J139" s="36"/>
      <c r="K139" s="21"/>
      <c r="L139" s="21"/>
      <c r="M139" s="21"/>
      <c r="N139" s="21"/>
    </row>
    <row r="140" spans="1:14" ht="15" hidden="1">
      <c r="A140" s="23" t="s">
        <v>27</v>
      </c>
      <c r="B140" s="23"/>
      <c r="C140" s="23"/>
      <c r="D140" s="23"/>
      <c r="E140" s="23"/>
      <c r="F140" s="23"/>
      <c r="G140" s="35">
        <f>'[1]1st Instalment (Calculations)'!E132</f>
        <v>4205312.805755395</v>
      </c>
      <c r="H140" s="35">
        <f>'[1]1st Instalment (Calculations)'!F132</f>
        <v>1685279.2027163315</v>
      </c>
      <c r="I140" s="35"/>
      <c r="J140" s="35"/>
      <c r="K140" s="23"/>
      <c r="L140" s="23"/>
      <c r="M140" s="23"/>
      <c r="N140" s="23"/>
    </row>
    <row r="141" spans="1:14" ht="15" hidden="1">
      <c r="A141" s="23" t="s">
        <v>28</v>
      </c>
      <c r="B141" s="23"/>
      <c r="C141" s="23"/>
      <c r="D141" s="23"/>
      <c r="E141" s="23"/>
      <c r="F141" s="23"/>
      <c r="G141" s="35">
        <f>'[1]1st Instalment (Calculations)'!E133</f>
        <v>665841.1942446046</v>
      </c>
      <c r="H141" s="34">
        <f>'[1]1st Instalment (Calculations)'!F133</f>
        <v>266835.85859352525</v>
      </c>
      <c r="I141" s="34"/>
      <c r="J141" s="34"/>
      <c r="K141" s="23"/>
      <c r="L141" s="23"/>
      <c r="M141" s="23"/>
      <c r="N141" s="23"/>
    </row>
    <row r="142" spans="1:14" ht="15" hidden="1">
      <c r="A142" s="23" t="s">
        <v>29</v>
      </c>
      <c r="B142" s="23"/>
      <c r="C142" s="23"/>
      <c r="D142" s="23"/>
      <c r="E142" s="23"/>
      <c r="F142" s="23"/>
      <c r="G142" s="24">
        <f>'[1]1st Instalment (Calculations)'!E134</f>
        <v>0.1583333333333334</v>
      </c>
      <c r="H142" s="24">
        <f>'[1]1st Instalment (Calculations)'!F134</f>
        <v>0.15833332433192046</v>
      </c>
      <c r="I142" s="24"/>
      <c r="J142" s="24"/>
      <c r="K142" s="23"/>
      <c r="L142" s="23"/>
      <c r="M142" s="23"/>
      <c r="N142" s="23"/>
    </row>
    <row r="143" ht="18.75" customHeight="1" hidden="1"/>
    <row r="145" spans="1:6" ht="75" hidden="1">
      <c r="A145" s="33"/>
      <c r="B145" s="32" t="s">
        <v>5</v>
      </c>
      <c r="C145" s="31" t="s">
        <v>42</v>
      </c>
      <c r="D145" s="31"/>
      <c r="E145" s="31"/>
      <c r="F145" s="31" t="s">
        <v>41</v>
      </c>
    </row>
    <row r="146" spans="1:6" ht="15" hidden="1">
      <c r="A146" s="30" t="s">
        <v>38</v>
      </c>
      <c r="B146" s="29">
        <f>H71+H115</f>
        <v>339207.9445</v>
      </c>
      <c r="C146" s="29">
        <f>'[1]Staff cost'!E7</f>
        <v>341646.4673669091</v>
      </c>
      <c r="D146" s="29"/>
      <c r="E146" s="29"/>
      <c r="F146" s="29">
        <f>C146-B146</f>
        <v>2438.522866909101</v>
      </c>
    </row>
    <row r="147" spans="1:6" ht="15" hidden="1">
      <c r="A147" s="30" t="s">
        <v>37</v>
      </c>
      <c r="B147" s="29">
        <f>H72+H116</f>
        <v>188825.94279999996</v>
      </c>
      <c r="C147" s="29">
        <f>'[1]Staff cost'!E15</f>
        <v>189066.34347787057</v>
      </c>
      <c r="D147" s="29"/>
      <c r="E147" s="29"/>
      <c r="F147" s="29">
        <f>C147-B147</f>
        <v>240.4006778706098</v>
      </c>
    </row>
    <row r="148" spans="2:6" ht="15" hidden="1">
      <c r="B148" s="167" t="s">
        <v>40</v>
      </c>
      <c r="C148" s="167"/>
      <c r="D148" s="167"/>
      <c r="E148" s="167"/>
      <c r="F148" s="167"/>
    </row>
    <row r="149" spans="1:6" ht="15" hidden="1">
      <c r="A149" s="30" t="s">
        <v>38</v>
      </c>
      <c r="B149" s="29">
        <f>'[1]1st Instalment (Calculations)'!F72</f>
        <v>156034.14373362792</v>
      </c>
      <c r="C149" s="29">
        <f>H71</f>
        <v>169614.552</v>
      </c>
      <c r="D149" s="29"/>
      <c r="E149" s="29"/>
      <c r="F149" s="29">
        <f>C149-B149</f>
        <v>13580.408266372076</v>
      </c>
    </row>
    <row r="150" spans="1:6" ht="15" hidden="1">
      <c r="A150" s="30" t="s">
        <v>37</v>
      </c>
      <c r="B150" s="29">
        <f>'[1]1st Instalment (Calculations)'!F73</f>
        <v>86859.09271058657</v>
      </c>
      <c r="C150" s="29">
        <f>H72</f>
        <v>94418.8608</v>
      </c>
      <c r="D150" s="29"/>
      <c r="E150" s="29"/>
      <c r="F150" s="29">
        <f>C150-B150</f>
        <v>7559.768089413425</v>
      </c>
    </row>
    <row r="151" spans="2:6" ht="15" hidden="1">
      <c r="B151" s="167" t="s">
        <v>39</v>
      </c>
      <c r="C151" s="167"/>
      <c r="D151" s="167"/>
      <c r="E151" s="167"/>
      <c r="F151" s="167"/>
    </row>
    <row r="152" spans="1:6" ht="15" hidden="1">
      <c r="A152" s="30" t="s">
        <v>38</v>
      </c>
      <c r="B152" s="29">
        <f>'[1]1st Instalment (Calculations)'!F107</f>
        <v>146411.57389324595</v>
      </c>
      <c r="C152" s="29">
        <f>H115</f>
        <v>169593.3925</v>
      </c>
      <c r="D152" s="29"/>
      <c r="E152" s="29"/>
      <c r="F152" s="29">
        <f>C152-B152</f>
        <v>23181.818606754037</v>
      </c>
    </row>
    <row r="153" spans="1:6" ht="15" hidden="1">
      <c r="A153" s="30" t="s">
        <v>37</v>
      </c>
      <c r="B153" s="29">
        <f>'[1]1st Instalment (Calculations)'!F108</f>
        <v>81502.52352719891</v>
      </c>
      <c r="C153" s="29">
        <f>H116</f>
        <v>94407.08199999998</v>
      </c>
      <c r="D153" s="29"/>
      <c r="E153" s="29"/>
      <c r="F153" s="29">
        <f>C153-B153</f>
        <v>12904.558472801073</v>
      </c>
    </row>
    <row r="155" ht="15" hidden="1"/>
    <row r="156" spans="2:7" ht="15" hidden="1">
      <c r="B156" t="s">
        <v>36</v>
      </c>
      <c r="C156" t="s">
        <v>35</v>
      </c>
      <c r="F156" t="s">
        <v>21</v>
      </c>
      <c r="G156" t="s">
        <v>24</v>
      </c>
    </row>
    <row r="157" spans="1:7" ht="15" hidden="1">
      <c r="A157" t="s">
        <v>34</v>
      </c>
      <c r="C157" s="28">
        <f>$G$92/4*'[1]1st Instalment (Calculations)'!I30</f>
        <v>91797.197625</v>
      </c>
      <c r="D157" s="28"/>
      <c r="E157" s="28"/>
      <c r="F157" s="28">
        <f>$G$92/4*'[1]1st Instalment (Calculations)'!J30</f>
        <v>68633.1511875</v>
      </c>
      <c r="G157" s="28">
        <f>$G$92/4*'[1]1st Instalment (Calculations)'!J30</f>
        <v>68633.1511875</v>
      </c>
    </row>
    <row r="158" spans="1:7" ht="15" hidden="1">
      <c r="A158" t="s">
        <v>33</v>
      </c>
      <c r="B158">
        <v>4000</v>
      </c>
      <c r="C158" s="28">
        <f>C157-4000</f>
        <v>87797.197625</v>
      </c>
      <c r="D158" s="28"/>
      <c r="E158" s="28"/>
      <c r="F158" s="28">
        <f>F157</f>
        <v>68633.1511875</v>
      </c>
      <c r="G158" s="28">
        <f>G157-11453</f>
        <v>57180.1511875</v>
      </c>
    </row>
    <row r="159" ht="15" hidden="1">
      <c r="A159" t="s">
        <v>32</v>
      </c>
    </row>
    <row r="160" ht="15" hidden="1">
      <c r="A160" t="s">
        <v>31</v>
      </c>
    </row>
    <row r="162" spans="1:13" ht="18.75" customHeight="1">
      <c r="A162" s="173" t="s">
        <v>83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</row>
    <row r="163" spans="1:13" ht="15.75" thickBot="1">
      <c r="A163" s="173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</row>
    <row r="164" spans="1:13" ht="15.75" thickBot="1">
      <c r="A164" s="168"/>
      <c r="B164" s="169"/>
      <c r="C164" s="169"/>
      <c r="D164" s="170"/>
      <c r="E164" s="168" t="s">
        <v>4</v>
      </c>
      <c r="F164" s="169"/>
      <c r="G164" s="169"/>
      <c r="H164" s="170"/>
      <c r="I164" s="168" t="s">
        <v>79</v>
      </c>
      <c r="J164" s="169"/>
      <c r="K164" s="169"/>
      <c r="L164" s="170"/>
      <c r="M164" s="171" t="s">
        <v>0</v>
      </c>
    </row>
    <row r="165" spans="1:13" ht="45" customHeight="1" thickBot="1">
      <c r="A165" s="116"/>
      <c r="B165" s="117" t="s">
        <v>1</v>
      </c>
      <c r="C165" s="117" t="s">
        <v>2</v>
      </c>
      <c r="D165" s="117" t="s">
        <v>3</v>
      </c>
      <c r="E165" s="117" t="s">
        <v>52</v>
      </c>
      <c r="F165" s="117" t="s">
        <v>86</v>
      </c>
      <c r="G165" s="117" t="s">
        <v>87</v>
      </c>
      <c r="H165" s="117" t="s">
        <v>88</v>
      </c>
      <c r="I165" s="117" t="s">
        <v>52</v>
      </c>
      <c r="J165" s="117" t="s">
        <v>86</v>
      </c>
      <c r="K165" s="117" t="s">
        <v>87</v>
      </c>
      <c r="L165" s="117" t="s">
        <v>88</v>
      </c>
      <c r="M165" s="172"/>
    </row>
    <row r="166" spans="1:13" ht="15">
      <c r="A166" s="5" t="s">
        <v>6</v>
      </c>
      <c r="B166" s="6"/>
      <c r="C166" s="6"/>
      <c r="D166" s="6"/>
      <c r="E166" s="6"/>
      <c r="F166" s="6"/>
      <c r="G166" s="7"/>
      <c r="H166" s="7"/>
      <c r="I166" s="6"/>
      <c r="J166" s="6"/>
      <c r="K166" s="6"/>
      <c r="L166" s="6"/>
      <c r="M166" s="6"/>
    </row>
    <row r="167" spans="1:13" ht="15">
      <c r="A167" s="8" t="s">
        <v>89</v>
      </c>
      <c r="B167" s="9" t="s">
        <v>81</v>
      </c>
      <c r="C167" s="9">
        <v>44</v>
      </c>
      <c r="D167" s="9">
        <v>19235.903000000002</v>
      </c>
      <c r="E167" s="9">
        <f>SUM(F167:H167)</f>
        <v>423189.99999999994</v>
      </c>
      <c r="F167" s="9">
        <v>169614.552</v>
      </c>
      <c r="G167" s="9">
        <v>126787.72399999999</v>
      </c>
      <c r="H167" s="9">
        <v>126787.72399999999</v>
      </c>
      <c r="I167" s="118">
        <v>0</v>
      </c>
      <c r="J167" s="118"/>
      <c r="K167" s="118"/>
      <c r="L167" s="118"/>
      <c r="M167" s="118">
        <f>E167+I167</f>
        <v>423189.99999999994</v>
      </c>
    </row>
    <row r="168" spans="1:13" ht="17.25" customHeight="1">
      <c r="A168" s="8" t="s">
        <v>111</v>
      </c>
      <c r="B168" s="9" t="s">
        <v>81</v>
      </c>
      <c r="C168" s="9">
        <v>44</v>
      </c>
      <c r="D168" s="9">
        <v>10707.989</v>
      </c>
      <c r="E168" s="9">
        <f>SUM(F168:H168)</f>
        <v>182035.81299999997</v>
      </c>
      <c r="F168" s="9">
        <f>7.5*10707.989</f>
        <v>80309.9175</v>
      </c>
      <c r="G168" s="9">
        <f>3.5*10707.989</f>
        <v>37477.9615</v>
      </c>
      <c r="H168" s="9">
        <f>6*10707.989</f>
        <v>64247.933999999994</v>
      </c>
      <c r="I168" s="118">
        <v>0</v>
      </c>
      <c r="J168" s="118"/>
      <c r="K168" s="118"/>
      <c r="L168" s="118"/>
      <c r="M168" s="118">
        <f aca="true" t="shared" si="24" ref="M168:M175">E168+I168</f>
        <v>182035.81299999997</v>
      </c>
    </row>
    <row r="169" spans="1:15" ht="15">
      <c r="A169" s="133" t="s">
        <v>113</v>
      </c>
      <c r="B169" s="9"/>
      <c r="C169" s="9"/>
      <c r="D169" s="9"/>
      <c r="E169" s="9">
        <f>SUM(F169:H169)</f>
        <v>124568.095</v>
      </c>
      <c r="F169" s="9">
        <f>2*14655.07</f>
        <v>29310.14</v>
      </c>
      <c r="G169" s="9">
        <f>3.5*14655.07</f>
        <v>51292.744999999995</v>
      </c>
      <c r="H169" s="9">
        <f>3*14655.07</f>
        <v>43965.21</v>
      </c>
      <c r="I169" s="118"/>
      <c r="J169" s="118"/>
      <c r="K169" s="118"/>
      <c r="L169" s="118"/>
      <c r="M169" s="118">
        <f>E169+I169</f>
        <v>124568.095</v>
      </c>
      <c r="N169" s="134"/>
      <c r="O169" s="28"/>
    </row>
    <row r="170" spans="1:13" ht="25.5">
      <c r="A170" s="8" t="s">
        <v>114</v>
      </c>
      <c r="B170" s="9" t="s">
        <v>82</v>
      </c>
      <c r="C170" s="9">
        <v>36</v>
      </c>
      <c r="D170" s="9">
        <v>11489.18</v>
      </c>
      <c r="E170" s="9">
        <v>0</v>
      </c>
      <c r="F170" s="9">
        <v>0</v>
      </c>
      <c r="G170" s="9"/>
      <c r="H170" s="9"/>
      <c r="I170" s="118">
        <v>389210.4</v>
      </c>
      <c r="J170" s="118">
        <f>I170/3</f>
        <v>129736.8</v>
      </c>
      <c r="K170" s="118">
        <f>J170</f>
        <v>129736.8</v>
      </c>
      <c r="L170" s="118">
        <f>J170</f>
        <v>129736.8</v>
      </c>
      <c r="M170" s="118">
        <f t="shared" si="24"/>
        <v>389210.4</v>
      </c>
    </row>
    <row r="171" spans="1:13" ht="25.5">
      <c r="A171" s="8" t="s">
        <v>90</v>
      </c>
      <c r="B171" s="9" t="s">
        <v>82</v>
      </c>
      <c r="C171" s="9">
        <v>36</v>
      </c>
      <c r="D171" s="9">
        <v>4206</v>
      </c>
      <c r="E171" s="9">
        <v>0</v>
      </c>
      <c r="F171" s="9">
        <v>0</v>
      </c>
      <c r="G171" s="9"/>
      <c r="H171" s="9"/>
      <c r="I171" s="118">
        <v>77144.4</v>
      </c>
      <c r="J171" s="118">
        <f aca="true" t="shared" si="25" ref="J171:J175">I171/3</f>
        <v>25714.8</v>
      </c>
      <c r="K171" s="118">
        <f aca="true" t="shared" si="26" ref="K171:K181">J171</f>
        <v>25714.8</v>
      </c>
      <c r="L171" s="118">
        <f aca="true" t="shared" si="27" ref="L171:L176">J171</f>
        <v>25714.8</v>
      </c>
      <c r="M171" s="118">
        <f t="shared" si="24"/>
        <v>77144.4</v>
      </c>
    </row>
    <row r="172" spans="1:13" ht="38.25">
      <c r="A172" s="8" t="s">
        <v>91</v>
      </c>
      <c r="B172" s="9" t="s">
        <v>81</v>
      </c>
      <c r="C172" s="9">
        <v>3</v>
      </c>
      <c r="D172" s="9">
        <v>8000</v>
      </c>
      <c r="E172" s="9">
        <v>0</v>
      </c>
      <c r="F172" s="9">
        <v>0</v>
      </c>
      <c r="G172" s="9"/>
      <c r="H172" s="9"/>
      <c r="I172" s="118">
        <v>77144.4</v>
      </c>
      <c r="J172" s="118">
        <f t="shared" si="25"/>
        <v>25714.8</v>
      </c>
      <c r="K172" s="118">
        <f t="shared" si="26"/>
        <v>25714.8</v>
      </c>
      <c r="L172" s="118">
        <f t="shared" si="27"/>
        <v>25714.8</v>
      </c>
      <c r="M172" s="118">
        <f t="shared" si="24"/>
        <v>77144.4</v>
      </c>
    </row>
    <row r="173" spans="1:13" ht="38.25">
      <c r="A173" s="8" t="s">
        <v>92</v>
      </c>
      <c r="B173" s="9"/>
      <c r="C173" s="9"/>
      <c r="D173" s="9"/>
      <c r="E173" s="9"/>
      <c r="F173" s="9"/>
      <c r="G173" s="9"/>
      <c r="H173" s="9"/>
      <c r="I173" s="118">
        <v>77144.4</v>
      </c>
      <c r="J173" s="118">
        <f t="shared" si="25"/>
        <v>25714.8</v>
      </c>
      <c r="K173" s="118">
        <f t="shared" si="26"/>
        <v>25714.8</v>
      </c>
      <c r="L173" s="118">
        <f t="shared" si="27"/>
        <v>25714.8</v>
      </c>
      <c r="M173" s="118">
        <f t="shared" si="24"/>
        <v>77144.4</v>
      </c>
    </row>
    <row r="174" spans="1:13" ht="15">
      <c r="A174" s="8" t="s">
        <v>84</v>
      </c>
      <c r="B174" s="9"/>
      <c r="C174" s="9"/>
      <c r="D174" s="9"/>
      <c r="E174" s="9"/>
      <c r="F174" s="9"/>
      <c r="G174" s="9"/>
      <c r="H174" s="9"/>
      <c r="I174" s="118">
        <v>19643.99</v>
      </c>
      <c r="J174" s="118">
        <f t="shared" si="25"/>
        <v>6547.996666666667</v>
      </c>
      <c r="K174" s="118">
        <f t="shared" si="26"/>
        <v>6547.996666666667</v>
      </c>
      <c r="L174" s="118">
        <f t="shared" si="27"/>
        <v>6547.996666666667</v>
      </c>
      <c r="M174" s="118">
        <f t="shared" si="24"/>
        <v>19643.99</v>
      </c>
    </row>
    <row r="175" spans="1:13" ht="25.5">
      <c r="A175" s="8" t="s">
        <v>85</v>
      </c>
      <c r="B175" s="9"/>
      <c r="C175" s="9"/>
      <c r="D175" s="9"/>
      <c r="E175" s="9"/>
      <c r="F175" s="9"/>
      <c r="G175" s="9"/>
      <c r="H175" s="9"/>
      <c r="I175" s="118">
        <v>19643.99</v>
      </c>
      <c r="J175" s="118">
        <f t="shared" si="25"/>
        <v>6547.996666666667</v>
      </c>
      <c r="K175" s="118">
        <f t="shared" si="26"/>
        <v>6547.996666666667</v>
      </c>
      <c r="L175" s="118">
        <f t="shared" si="27"/>
        <v>6547.996666666667</v>
      </c>
      <c r="M175" s="118">
        <f t="shared" si="24"/>
        <v>19643.99</v>
      </c>
    </row>
    <row r="176" spans="1:13" ht="15">
      <c r="A176" s="10" t="s">
        <v>7</v>
      </c>
      <c r="B176" s="11"/>
      <c r="C176" s="11"/>
      <c r="D176" s="11"/>
      <c r="E176" s="9">
        <v>50000</v>
      </c>
      <c r="F176" s="9">
        <v>18435.471506135294</v>
      </c>
      <c r="G176" s="9">
        <f>(E176-F176)/2</f>
        <v>15782.264246932353</v>
      </c>
      <c r="H176" s="9">
        <f>G176</f>
        <v>15782.264246932353</v>
      </c>
      <c r="I176" s="119">
        <v>15000</v>
      </c>
      <c r="J176" s="119">
        <f>I176/3</f>
        <v>5000</v>
      </c>
      <c r="K176" s="119">
        <f t="shared" si="26"/>
        <v>5000</v>
      </c>
      <c r="L176" s="119">
        <f t="shared" si="27"/>
        <v>5000</v>
      </c>
      <c r="M176" s="118">
        <f aca="true" t="shared" si="28" ref="M176:M192">E176+I176</f>
        <v>65000</v>
      </c>
    </row>
    <row r="177" spans="1:13" ht="15">
      <c r="A177" s="10" t="s">
        <v>8</v>
      </c>
      <c r="B177" s="11"/>
      <c r="C177" s="11"/>
      <c r="D177" s="11"/>
      <c r="E177" s="9">
        <v>4800</v>
      </c>
      <c r="F177" s="9">
        <v>1769.8052645889884</v>
      </c>
      <c r="G177" s="9">
        <f>(E177-F177)/2</f>
        <v>1515.0973677055058</v>
      </c>
      <c r="H177" s="9">
        <f>G177</f>
        <v>1515.0973677055058</v>
      </c>
      <c r="I177" s="119">
        <v>3000</v>
      </c>
      <c r="J177" s="119">
        <f aca="true" t="shared" si="29" ref="J177:J181">I177/3</f>
        <v>1000</v>
      </c>
      <c r="K177" s="119">
        <f t="shared" si="26"/>
        <v>1000</v>
      </c>
      <c r="L177" s="119">
        <f aca="true" t="shared" si="30" ref="L177:L181">J177</f>
        <v>1000</v>
      </c>
      <c r="M177" s="118">
        <f t="shared" si="28"/>
        <v>7800</v>
      </c>
    </row>
    <row r="178" spans="1:13" ht="15">
      <c r="A178" s="12" t="s">
        <v>9</v>
      </c>
      <c r="B178" s="11"/>
      <c r="C178" s="11"/>
      <c r="D178" s="11"/>
      <c r="E178" s="9"/>
      <c r="F178" s="9"/>
      <c r="G178" s="9"/>
      <c r="H178" s="9"/>
      <c r="I178" s="119"/>
      <c r="J178" s="119"/>
      <c r="K178" s="119"/>
      <c r="L178" s="119"/>
      <c r="M178" s="118"/>
    </row>
    <row r="179" spans="1:13" ht="15">
      <c r="A179" s="10" t="s">
        <v>10</v>
      </c>
      <c r="B179" s="11"/>
      <c r="C179" s="11"/>
      <c r="D179" s="11"/>
      <c r="E179" s="9">
        <f>E180+E181</f>
        <v>556841</v>
      </c>
      <c r="F179" s="9">
        <f aca="true" t="shared" si="31" ref="F179:H179">F180+F181</f>
        <v>183000</v>
      </c>
      <c r="G179" s="9">
        <f t="shared" si="31"/>
        <v>183800</v>
      </c>
      <c r="H179" s="9">
        <f t="shared" si="31"/>
        <v>190041</v>
      </c>
      <c r="I179" s="119">
        <v>61527.43</v>
      </c>
      <c r="J179" s="119">
        <f t="shared" si="29"/>
        <v>20509.143333333333</v>
      </c>
      <c r="K179" s="119">
        <f t="shared" si="26"/>
        <v>20509.143333333333</v>
      </c>
      <c r="L179" s="119">
        <f t="shared" si="30"/>
        <v>20509.143333333333</v>
      </c>
      <c r="M179" s="118">
        <f t="shared" si="28"/>
        <v>618368.43</v>
      </c>
    </row>
    <row r="180" spans="1:13" ht="19.5" customHeight="1">
      <c r="A180" s="13" t="s">
        <v>11</v>
      </c>
      <c r="B180" s="11"/>
      <c r="C180" s="11"/>
      <c r="D180" s="11"/>
      <c r="E180" s="9">
        <v>56600</v>
      </c>
      <c r="F180" s="9">
        <v>18000</v>
      </c>
      <c r="G180" s="9">
        <v>20000</v>
      </c>
      <c r="H180" s="9">
        <v>18600</v>
      </c>
      <c r="I180" s="120">
        <v>12962</v>
      </c>
      <c r="J180" s="119">
        <f t="shared" si="29"/>
        <v>4320.666666666667</v>
      </c>
      <c r="K180" s="119">
        <f t="shared" si="26"/>
        <v>4320.666666666667</v>
      </c>
      <c r="L180" s="119">
        <f t="shared" si="30"/>
        <v>4320.666666666667</v>
      </c>
      <c r="M180" s="118">
        <f t="shared" si="28"/>
        <v>69562</v>
      </c>
    </row>
    <row r="181" spans="1:13" ht="15">
      <c r="A181" s="13" t="s">
        <v>12</v>
      </c>
      <c r="B181" s="11"/>
      <c r="C181" s="11"/>
      <c r="D181" s="11"/>
      <c r="E181" s="9">
        <f>SUM(E183:E190)</f>
        <v>500241</v>
      </c>
      <c r="F181" s="9">
        <f>SUM(F183:F190)</f>
        <v>165000</v>
      </c>
      <c r="G181" s="9">
        <f>SUM(G183:G190)</f>
        <v>163800</v>
      </c>
      <c r="H181" s="9">
        <f>SUM(H183:H190)</f>
        <v>171441</v>
      </c>
      <c r="I181" s="120">
        <v>48565.43</v>
      </c>
      <c r="J181" s="119">
        <f t="shared" si="29"/>
        <v>16188.476666666667</v>
      </c>
      <c r="K181" s="119">
        <f t="shared" si="26"/>
        <v>16188.476666666667</v>
      </c>
      <c r="L181" s="119">
        <f t="shared" si="30"/>
        <v>16188.476666666667</v>
      </c>
      <c r="M181" s="118">
        <f t="shared" si="28"/>
        <v>548806.43</v>
      </c>
    </row>
    <row r="182" spans="1:13" ht="38.25">
      <c r="A182" s="99" t="s">
        <v>67</v>
      </c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118">
        <f t="shared" si="28"/>
        <v>0</v>
      </c>
    </row>
    <row r="183" spans="1:13" ht="25.5">
      <c r="A183" s="99" t="s">
        <v>68</v>
      </c>
      <c r="B183" s="11"/>
      <c r="C183" s="11"/>
      <c r="D183" s="11"/>
      <c r="E183" s="9">
        <f aca="true" t="shared" si="32" ref="E183:E190">SUM(F183:H183)</f>
        <v>100000</v>
      </c>
      <c r="F183" s="9">
        <v>40000</v>
      </c>
      <c r="G183" s="9">
        <v>60000</v>
      </c>
      <c r="H183" s="9"/>
      <c r="I183" s="118"/>
      <c r="J183" s="118"/>
      <c r="K183" s="118"/>
      <c r="L183" s="118"/>
      <c r="M183" s="118">
        <f t="shared" si="28"/>
        <v>100000</v>
      </c>
    </row>
    <row r="184" spans="1:13" ht="25.5">
      <c r="A184" s="99" t="s">
        <v>76</v>
      </c>
      <c r="B184" s="11"/>
      <c r="C184" s="11"/>
      <c r="D184" s="11"/>
      <c r="E184" s="9">
        <f t="shared" si="32"/>
        <v>55000</v>
      </c>
      <c r="F184" s="9">
        <v>15000</v>
      </c>
      <c r="G184" s="9">
        <v>20000</v>
      </c>
      <c r="H184" s="9">
        <v>20000</v>
      </c>
      <c r="I184" s="118"/>
      <c r="J184" s="118"/>
      <c r="K184" s="118"/>
      <c r="L184" s="118"/>
      <c r="M184" s="118">
        <f t="shared" si="28"/>
        <v>55000</v>
      </c>
    </row>
    <row r="185" spans="1:13" ht="38.25">
      <c r="A185" s="99" t="s">
        <v>69</v>
      </c>
      <c r="B185" s="11"/>
      <c r="C185" s="11"/>
      <c r="D185" s="11"/>
      <c r="E185" s="9">
        <f t="shared" si="32"/>
        <v>30000</v>
      </c>
      <c r="F185" s="9"/>
      <c r="G185" s="9">
        <v>30000</v>
      </c>
      <c r="H185" s="9"/>
      <c r="I185" s="118"/>
      <c r="J185" s="118"/>
      <c r="K185" s="118"/>
      <c r="L185" s="118"/>
      <c r="M185" s="118">
        <f t="shared" si="28"/>
        <v>30000</v>
      </c>
    </row>
    <row r="186" spans="1:13" ht="38.25">
      <c r="A186" s="100" t="s">
        <v>71</v>
      </c>
      <c r="B186" s="11"/>
      <c r="C186" s="11"/>
      <c r="D186" s="11"/>
      <c r="E186" s="9">
        <f t="shared" si="32"/>
        <v>40000</v>
      </c>
      <c r="F186" s="9"/>
      <c r="G186" s="9">
        <v>20000</v>
      </c>
      <c r="H186" s="9">
        <v>20000</v>
      </c>
      <c r="I186" s="118"/>
      <c r="J186" s="118"/>
      <c r="K186" s="118"/>
      <c r="L186" s="118"/>
      <c r="M186" s="118">
        <f t="shared" si="28"/>
        <v>40000</v>
      </c>
    </row>
    <row r="187" spans="1:13" ht="51">
      <c r="A187" s="100" t="s">
        <v>70</v>
      </c>
      <c r="B187" s="11"/>
      <c r="C187" s="11"/>
      <c r="D187" s="11"/>
      <c r="E187" s="9">
        <f t="shared" si="32"/>
        <v>80000</v>
      </c>
      <c r="F187" s="9">
        <v>80000</v>
      </c>
      <c r="G187" s="9"/>
      <c r="H187" s="9"/>
      <c r="I187" s="118"/>
      <c r="J187" s="118"/>
      <c r="K187" s="118"/>
      <c r="L187" s="118"/>
      <c r="M187" s="118">
        <f t="shared" si="28"/>
        <v>80000</v>
      </c>
    </row>
    <row r="188" spans="1:13" ht="38.25">
      <c r="A188" s="100" t="s">
        <v>77</v>
      </c>
      <c r="B188" s="11"/>
      <c r="C188" s="11"/>
      <c r="D188" s="11"/>
      <c r="E188" s="9">
        <f t="shared" si="32"/>
        <v>65241</v>
      </c>
      <c r="F188" s="9">
        <v>20000</v>
      </c>
      <c r="G188" s="9">
        <v>23800</v>
      </c>
      <c r="H188" s="9">
        <v>21441</v>
      </c>
      <c r="I188" s="119"/>
      <c r="J188" s="119"/>
      <c r="K188" s="119"/>
      <c r="L188" s="119"/>
      <c r="M188" s="118">
        <f t="shared" si="28"/>
        <v>65241</v>
      </c>
    </row>
    <row r="189" spans="1:13" ht="25.5">
      <c r="A189" s="100" t="s">
        <v>112</v>
      </c>
      <c r="B189" s="11"/>
      <c r="C189" s="11"/>
      <c r="D189" s="11"/>
      <c r="E189" s="9">
        <f t="shared" si="32"/>
        <v>30000</v>
      </c>
      <c r="F189" s="9">
        <v>10000</v>
      </c>
      <c r="G189" s="9">
        <v>10000</v>
      </c>
      <c r="H189" s="9">
        <v>10000</v>
      </c>
      <c r="I189" s="119"/>
      <c r="J189" s="119"/>
      <c r="K189" s="119"/>
      <c r="L189" s="119"/>
      <c r="M189" s="118">
        <f t="shared" si="28"/>
        <v>30000</v>
      </c>
    </row>
    <row r="190" spans="1:13" ht="38.25">
      <c r="A190" s="100" t="s">
        <v>73</v>
      </c>
      <c r="B190" s="11"/>
      <c r="C190" s="11"/>
      <c r="D190" s="11"/>
      <c r="E190" s="9">
        <f t="shared" si="32"/>
        <v>100000</v>
      </c>
      <c r="F190" s="9"/>
      <c r="G190" s="9"/>
      <c r="H190" s="9">
        <v>100000</v>
      </c>
      <c r="I190" s="119"/>
      <c r="J190" s="119"/>
      <c r="K190" s="119"/>
      <c r="L190" s="119"/>
      <c r="M190" s="118">
        <f t="shared" si="28"/>
        <v>100000</v>
      </c>
    </row>
    <row r="191" spans="1:13" ht="15">
      <c r="A191" s="10" t="s">
        <v>13</v>
      </c>
      <c r="B191" s="11"/>
      <c r="C191" s="11"/>
      <c r="D191" s="11"/>
      <c r="E191" s="9">
        <v>0</v>
      </c>
      <c r="F191" s="9">
        <v>0</v>
      </c>
      <c r="G191" s="9">
        <v>0</v>
      </c>
      <c r="H191" s="9"/>
      <c r="I191" s="119"/>
      <c r="J191" s="119"/>
      <c r="K191" s="119"/>
      <c r="L191" s="119">
        <v>0</v>
      </c>
      <c r="M191" s="118">
        <f t="shared" si="28"/>
        <v>0</v>
      </c>
    </row>
    <row r="192" spans="1:13" ht="15.75" thickBot="1">
      <c r="A192" s="14" t="s">
        <v>14</v>
      </c>
      <c r="B192" s="11"/>
      <c r="C192" s="11"/>
      <c r="D192" s="11"/>
      <c r="E192" s="9">
        <v>916254</v>
      </c>
      <c r="F192" s="9">
        <f>E192*0.4008</f>
        <v>367234.6032</v>
      </c>
      <c r="G192" s="9">
        <f>(E192-F192)/2</f>
        <v>274509.6984</v>
      </c>
      <c r="H192" s="9">
        <f>G192</f>
        <v>274509.6984</v>
      </c>
      <c r="I192" s="120"/>
      <c r="J192" s="120"/>
      <c r="K192" s="120"/>
      <c r="L192" s="120"/>
      <c r="M192" s="118">
        <f t="shared" si="28"/>
        <v>916254</v>
      </c>
    </row>
    <row r="193" spans="1:13" ht="27.75" customHeight="1" thickBot="1">
      <c r="A193" s="15" t="s">
        <v>15</v>
      </c>
      <c r="B193" s="16"/>
      <c r="C193" s="16"/>
      <c r="D193" s="16"/>
      <c r="E193" s="56">
        <f>SUM(E167:E179)+E191+E192</f>
        <v>2257688.908</v>
      </c>
      <c r="F193" s="56">
        <f>SUM(F167:F179)+F191+F192</f>
        <v>849674.4894707242</v>
      </c>
      <c r="G193" s="56">
        <f>SUM(G167:G179)+G191+G192</f>
        <v>691165.4905146379</v>
      </c>
      <c r="H193" s="56">
        <f>SUM(H167:H179)+H191+H192</f>
        <v>716848.9280146379</v>
      </c>
      <c r="I193" s="56">
        <f>SUM(I167:I179)+I191+I192</f>
        <v>739459.0100000001</v>
      </c>
      <c r="J193" s="56">
        <f>SUM(J167:J179)+J191+J192</f>
        <v>246486.33666666667</v>
      </c>
      <c r="K193" s="56">
        <f>SUM(K167:K179)+K191+K192</f>
        <v>246486.33666666667</v>
      </c>
      <c r="L193" s="56">
        <f>SUM(L167:L179)+L191+L192</f>
        <v>246486.33666666667</v>
      </c>
      <c r="M193" s="56">
        <f>SUM(M167:M179)+M191+M192</f>
        <v>2997147.9179999996</v>
      </c>
    </row>
    <row r="194" spans="1:13" ht="26.25" thickBot="1">
      <c r="A194" s="17" t="s">
        <v>16</v>
      </c>
      <c r="B194" s="18"/>
      <c r="C194" s="18"/>
      <c r="D194" s="18"/>
      <c r="E194" s="55">
        <f>ROUND(E193*0.07,0)</f>
        <v>158038</v>
      </c>
      <c r="F194" s="55">
        <f>ROUND(F193*0.07,0)</f>
        <v>59477</v>
      </c>
      <c r="G194" s="55">
        <f>ROUND(G193*0.07,0)</f>
        <v>48382</v>
      </c>
      <c r="H194" s="55">
        <f aca="true" t="shared" si="33" ref="H194:M194">ROUND(H193*0.07,0)</f>
        <v>50179</v>
      </c>
      <c r="I194" s="55">
        <f t="shared" si="33"/>
        <v>51762</v>
      </c>
      <c r="J194" s="55">
        <f t="shared" si="33"/>
        <v>17254</v>
      </c>
      <c r="K194" s="55">
        <f t="shared" si="33"/>
        <v>17254</v>
      </c>
      <c r="L194" s="55">
        <f t="shared" si="33"/>
        <v>17254</v>
      </c>
      <c r="M194" s="55">
        <f t="shared" si="33"/>
        <v>209800</v>
      </c>
    </row>
    <row r="195" spans="1:14" ht="26.25" thickBot="1">
      <c r="A195" s="19" t="s">
        <v>80</v>
      </c>
      <c r="B195" s="109"/>
      <c r="C195" s="109"/>
      <c r="D195" s="109"/>
      <c r="E195" s="53">
        <f>E193+E194</f>
        <v>2415726.908</v>
      </c>
      <c r="F195" s="53">
        <f>F193+F194</f>
        <v>909151.4894707242</v>
      </c>
      <c r="G195" s="53">
        <f>G193+G194</f>
        <v>739547.4905146379</v>
      </c>
      <c r="H195" s="53">
        <f aca="true" t="shared" si="34" ref="H195:M195">H193+H194</f>
        <v>767027.9280146379</v>
      </c>
      <c r="I195" s="53">
        <f t="shared" si="34"/>
        <v>791221.0100000001</v>
      </c>
      <c r="J195" s="53">
        <f t="shared" si="34"/>
        <v>263740.33666666667</v>
      </c>
      <c r="K195" s="53">
        <f t="shared" si="34"/>
        <v>263740.33666666667</v>
      </c>
      <c r="L195" s="53">
        <f t="shared" si="34"/>
        <v>263740.33666666667</v>
      </c>
      <c r="M195" s="53">
        <f t="shared" si="34"/>
        <v>3206947.9179999996</v>
      </c>
      <c r="N195" s="134"/>
    </row>
    <row r="196" ht="15">
      <c r="J196" s="121"/>
    </row>
  </sheetData>
  <mergeCells count="68">
    <mergeCell ref="E164:H164"/>
    <mergeCell ref="I164:L164"/>
    <mergeCell ref="A164:D164"/>
    <mergeCell ref="M164:M165"/>
    <mergeCell ref="A162:M163"/>
    <mergeCell ref="B148:F148"/>
    <mergeCell ref="B151:F151"/>
    <mergeCell ref="A65:K67"/>
    <mergeCell ref="N65:N67"/>
    <mergeCell ref="A110:H112"/>
    <mergeCell ref="K110:K112"/>
    <mergeCell ref="B21:E21"/>
    <mergeCell ref="Y45:Y47"/>
    <mergeCell ref="P44:Q44"/>
    <mergeCell ref="R44:S44"/>
    <mergeCell ref="T44:U44"/>
    <mergeCell ref="V44:W44"/>
    <mergeCell ref="P45:Q47"/>
    <mergeCell ref="R45:S47"/>
    <mergeCell ref="T45:U47"/>
    <mergeCell ref="V45:W47"/>
    <mergeCell ref="X45:X47"/>
    <mergeCell ref="B44:C44"/>
    <mergeCell ref="F44:G44"/>
    <mergeCell ref="H44:K44"/>
    <mergeCell ref="N44:O44"/>
    <mergeCell ref="B22:E24"/>
    <mergeCell ref="A45:A47"/>
    <mergeCell ref="B45:C47"/>
    <mergeCell ref="F45:G47"/>
    <mergeCell ref="H45:K47"/>
    <mergeCell ref="N45:O47"/>
    <mergeCell ref="F22:G24"/>
    <mergeCell ref="H22:K24"/>
    <mergeCell ref="N22:O24"/>
    <mergeCell ref="S1:T1"/>
    <mergeCell ref="U1:V1"/>
    <mergeCell ref="P22:Q24"/>
    <mergeCell ref="P21:Q21"/>
    <mergeCell ref="F21:G21"/>
    <mergeCell ref="H21:K21"/>
    <mergeCell ref="N21:O21"/>
    <mergeCell ref="W1:X1"/>
    <mergeCell ref="A2:A4"/>
    <mergeCell ref="B2:C4"/>
    <mergeCell ref="B1:C1"/>
    <mergeCell ref="F1:G1"/>
    <mergeCell ref="H1:K1"/>
    <mergeCell ref="W2:X4"/>
    <mergeCell ref="O1:P1"/>
    <mergeCell ref="U2:V4"/>
    <mergeCell ref="Q1:R1"/>
    <mergeCell ref="X22:X24"/>
    <mergeCell ref="Y22:Y24"/>
    <mergeCell ref="A22:A24"/>
    <mergeCell ref="Y2:Y4"/>
    <mergeCell ref="Z2:Z4"/>
    <mergeCell ref="F2:G4"/>
    <mergeCell ref="H2:K4"/>
    <mergeCell ref="O2:P4"/>
    <mergeCell ref="Q2:R4"/>
    <mergeCell ref="S2:T4"/>
    <mergeCell ref="R21:S21"/>
    <mergeCell ref="T21:U21"/>
    <mergeCell ref="V21:W21"/>
    <mergeCell ref="R22:S24"/>
    <mergeCell ref="T22:U24"/>
    <mergeCell ref="V22:W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C4:XFD15"/>
  <sheetViews>
    <sheetView zoomScale="80" zoomScaleNormal="80" workbookViewId="0" topLeftCell="A5">
      <selection activeCell="A5" sqref="A1:XFD1048576"/>
    </sheetView>
  </sheetViews>
  <sheetFormatPr defaultColWidth="9.140625" defaultRowHeight="15"/>
  <cols>
    <col min="3" max="3" width="34.421875" style="0" customWidth="1"/>
    <col min="17" max="17" width="11.140625" style="0" customWidth="1"/>
    <col min="18" max="18" width="12.28125" style="0" customWidth="1"/>
  </cols>
  <sheetData>
    <row r="3" ht="15.75" thickBot="1"/>
    <row r="4" spans="3:18" ht="21" customHeight="1">
      <c r="C4" s="177" t="s">
        <v>93</v>
      </c>
      <c r="D4" s="179">
        <v>2020</v>
      </c>
      <c r="E4" s="180"/>
      <c r="F4" s="181"/>
      <c r="G4" s="179">
        <v>2021</v>
      </c>
      <c r="H4" s="180"/>
      <c r="I4" s="180"/>
      <c r="J4" s="181"/>
      <c r="K4" s="179">
        <v>2022</v>
      </c>
      <c r="L4" s="180"/>
      <c r="M4" s="180"/>
      <c r="N4" s="181"/>
      <c r="O4" s="179">
        <v>2023</v>
      </c>
      <c r="P4" s="181"/>
      <c r="Q4" s="175" t="s">
        <v>99</v>
      </c>
      <c r="R4" s="177" t="s">
        <v>94</v>
      </c>
    </row>
    <row r="5" spans="3:18" ht="21" customHeight="1">
      <c r="C5" s="178"/>
      <c r="D5" s="125" t="s">
        <v>95</v>
      </c>
      <c r="E5" s="125" t="s">
        <v>96</v>
      </c>
      <c r="F5" s="125" t="s">
        <v>97</v>
      </c>
      <c r="G5" s="125" t="s">
        <v>98</v>
      </c>
      <c r="H5" s="125" t="s">
        <v>95</v>
      </c>
      <c r="I5" s="125" t="s">
        <v>96</v>
      </c>
      <c r="J5" s="125" t="s">
        <v>97</v>
      </c>
      <c r="K5" s="125" t="s">
        <v>98</v>
      </c>
      <c r="L5" s="125" t="s">
        <v>95</v>
      </c>
      <c r="M5" s="125" t="s">
        <v>96</v>
      </c>
      <c r="N5" s="125" t="s">
        <v>97</v>
      </c>
      <c r="O5" s="125" t="s">
        <v>98</v>
      </c>
      <c r="P5" s="125" t="s">
        <v>95</v>
      </c>
      <c r="Q5" s="176"/>
      <c r="R5" s="178"/>
    </row>
    <row r="6" spans="3:18" ht="63.75">
      <c r="C6" s="124" t="s">
        <v>109</v>
      </c>
      <c r="D6" s="131"/>
      <c r="E6" s="132"/>
      <c r="F6" s="130"/>
      <c r="G6" s="132"/>
      <c r="H6" s="132"/>
      <c r="I6" s="132"/>
      <c r="J6" s="132"/>
      <c r="K6" s="132"/>
      <c r="L6" s="130"/>
      <c r="M6" s="130"/>
      <c r="N6" s="130"/>
      <c r="O6" s="131"/>
      <c r="P6" s="131"/>
      <c r="Q6" s="129"/>
      <c r="R6" s="129"/>
    </row>
    <row r="7" spans="3:18" ht="38.25">
      <c r="C7" s="124" t="s">
        <v>108</v>
      </c>
      <c r="D7" s="122"/>
      <c r="E7" s="128"/>
      <c r="F7" s="128"/>
      <c r="G7" s="128"/>
      <c r="H7" s="128"/>
      <c r="I7" s="122"/>
      <c r="J7" s="122"/>
      <c r="K7" s="122"/>
      <c r="L7" s="122"/>
      <c r="M7" s="122"/>
      <c r="N7" s="122"/>
      <c r="O7" s="122"/>
      <c r="P7" s="122"/>
      <c r="Q7" s="126">
        <f>'Cross-Country Budget'!M183</f>
        <v>100000</v>
      </c>
      <c r="R7" s="122" t="s">
        <v>4</v>
      </c>
    </row>
    <row r="8" spans="3:18" ht="38.25">
      <c r="C8" s="124" t="s">
        <v>107</v>
      </c>
      <c r="D8" s="122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2"/>
      <c r="P8" s="122"/>
      <c r="Q8" s="126">
        <f>'Cross-Country Budget'!M184</f>
        <v>55000</v>
      </c>
      <c r="R8" s="123" t="s">
        <v>4</v>
      </c>
    </row>
    <row r="9" spans="3:18" ht="38.25">
      <c r="C9" s="124" t="s">
        <v>106</v>
      </c>
      <c r="D9" s="122"/>
      <c r="E9" s="122"/>
      <c r="F9" s="122"/>
      <c r="G9" s="122"/>
      <c r="H9" s="122"/>
      <c r="I9" s="128"/>
      <c r="J9" s="128"/>
      <c r="K9" s="128"/>
      <c r="L9" s="128"/>
      <c r="M9" s="128"/>
      <c r="N9" s="128"/>
      <c r="O9" s="122"/>
      <c r="P9" s="122"/>
      <c r="Q9" s="126">
        <f>'Cross-Country Budget'!M185</f>
        <v>30000</v>
      </c>
      <c r="R9" s="123" t="s">
        <v>4</v>
      </c>
    </row>
    <row r="10" spans="3:18" ht="51">
      <c r="C10" s="127" t="s">
        <v>105</v>
      </c>
      <c r="D10" s="122"/>
      <c r="E10" s="122"/>
      <c r="F10" s="122"/>
      <c r="G10" s="128"/>
      <c r="H10" s="128"/>
      <c r="I10" s="128"/>
      <c r="J10" s="128"/>
      <c r="K10" s="128"/>
      <c r="L10" s="122"/>
      <c r="M10" s="122"/>
      <c r="N10" s="122"/>
      <c r="O10" s="122"/>
      <c r="P10" s="122"/>
      <c r="Q10" s="126">
        <f>'Cross-Country Budget'!M186</f>
        <v>40000</v>
      </c>
      <c r="R10" s="122" t="s">
        <v>4</v>
      </c>
    </row>
    <row r="11" spans="3:18" ht="51">
      <c r="C11" s="127" t="s">
        <v>104</v>
      </c>
      <c r="D11" s="128"/>
      <c r="E11" s="128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6">
        <f>'Cross-Country Budget'!M187</f>
        <v>80000</v>
      </c>
      <c r="R11" s="123" t="s">
        <v>4</v>
      </c>
    </row>
    <row r="12" spans="3:16384" ht="38.25">
      <c r="C12" s="127" t="s">
        <v>103</v>
      </c>
      <c r="D12" s="122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2"/>
      <c r="Q12" s="126">
        <f>'Cross-Country Budget'!M188</f>
        <v>65241</v>
      </c>
      <c r="R12" s="123" t="s">
        <v>4</v>
      </c>
      <c r="XFD12" s="128"/>
    </row>
    <row r="13" spans="3:18" ht="38.25">
      <c r="C13" s="127" t="s">
        <v>101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8"/>
      <c r="Q13" s="126">
        <f>'Cross-Country Budget'!M190</f>
        <v>100000</v>
      </c>
      <c r="R13" s="123" t="s">
        <v>4</v>
      </c>
    </row>
    <row r="14" spans="3:18" ht="25.5">
      <c r="C14" s="127" t="s">
        <v>100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6">
        <f>'Cross-Country Budget'!M180</f>
        <v>69562</v>
      </c>
      <c r="R14" s="123" t="s">
        <v>110</v>
      </c>
    </row>
    <row r="15" spans="3:18" ht="53.25" customHeight="1">
      <c r="C15" s="127" t="s">
        <v>102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6"/>
      <c r="R15" s="21" t="s">
        <v>110</v>
      </c>
    </row>
  </sheetData>
  <mergeCells count="7">
    <mergeCell ref="C4:C5"/>
    <mergeCell ref="Q4:Q5"/>
    <mergeCell ref="R4:R5"/>
    <mergeCell ref="D4:F4"/>
    <mergeCell ref="G4:J4"/>
    <mergeCell ref="K4:N4"/>
    <mergeCell ref="O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Urban, Stefan</dc:creator>
  <cp:keywords/>
  <dc:description/>
  <cp:lastModifiedBy>Wodsak, Veronika</cp:lastModifiedBy>
  <dcterms:created xsi:type="dcterms:W3CDTF">2020-02-24T16:17:34Z</dcterms:created>
  <dcterms:modified xsi:type="dcterms:W3CDTF">2020-03-06T12:32:59Z</dcterms:modified>
  <cp:category/>
  <cp:version/>
  <cp:contentType/>
  <cp:contentStatus/>
</cp:coreProperties>
</file>