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9.xml" ContentType="application/vnd.ms-office.chartstyle+xml"/>
  <Override PartName="/xl/charts/colors18.xml" ContentType="application/vnd.ms-office.chartcolorstyle+xml"/>
  <Override PartName="/xl/charts/style18.xml" ContentType="application/vnd.ms-office.chartstyle+xml"/>
  <Override PartName="/xl/charts/colors17.xml" ContentType="application/vnd.ms-office.chartcolorstyle+xml"/>
  <Override PartName="/xl/charts/style17.xml" ContentType="application/vnd.ms-office.chartstyle+xml"/>
  <Override PartName="/xl/charts/colors16.xml" ContentType="application/vnd.ms-office.chartcolorstyle+xml"/>
  <Override PartName="/xl/charts/colors19.xml" ContentType="application/vnd.ms-office.chartcolorstyle+xml"/>
  <Override PartName="/xl/charts/style20.xml" ContentType="application/vnd.ms-office.chartstyle+xml"/>
  <Override PartName="/xl/charts/colors22.xml" ContentType="application/vnd.ms-office.chartcolorstyle+xml"/>
  <Override PartName="/xl/charts/style22.xml" ContentType="application/vnd.ms-office.chartstyle+xml"/>
  <Override PartName="/xl/charts/colors21.xml" ContentType="application/vnd.ms-office.chartcolorstyle+xml"/>
  <Override PartName="/xl/charts/style21.xml" ContentType="application/vnd.ms-office.chartstyle+xml"/>
  <Override PartName="/xl/charts/colors20.xml" ContentType="application/vnd.ms-office.chartcolorstyle+xml"/>
  <Override PartName="/xl/charts/style16.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13.xml" ContentType="application/vnd.ms-office.chartstyle+xml"/>
  <Override PartName="/xl/charts/colors13.xml" ContentType="application/vnd.ms-office.chartcolor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colors7.xml" ContentType="application/vnd.ms-office.chartcolorstyle+xml"/>
  <Override PartName="/xl/charts/style7.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6950" windowHeight="4170" tabRatio="911" activeTab="0"/>
  </bookViews>
  <sheets>
    <sheet name="README" sheetId="14" r:id="rId1"/>
    <sheet name="POP" sheetId="2" r:id="rId2"/>
    <sheet name="EAP" sheetId="4" r:id="rId3"/>
    <sheet name="ECO" sheetId="1" r:id="rId4"/>
    <sheet name="GGO (SQ)" sheetId="45" r:id="rId5"/>
    <sheet name="Scenarios" sheetId="52" r:id="rId6"/>
    <sheet name="Health" sheetId="53" r:id="rId7"/>
    <sheet name="Children" sheetId="54" r:id="rId8"/>
    <sheet name="Working" sheetId="47" r:id="rId9"/>
    <sheet name="Elderly" sheetId="55" r:id="rId10"/>
    <sheet name="Cross-Cutting" sheetId="56" r:id="rId11"/>
    <sheet name="Summary" sheetId="33" r:id="rId12"/>
    <sheet name="GGO (Ben)" sheetId="49" r:id="rId13"/>
    <sheet name="Calculations" sheetId="50" r:id="rId14"/>
  </sheets>
  <definedNames>
    <definedName name="_xlnm.Print_Area" localSheetId="11">'Summary'!$A$8:$G$60</definedName>
  </definedNames>
  <calcPr calcId="162913"/>
</workbook>
</file>

<file path=xl/comments10.xml><?xml version="1.0" encoding="utf-8"?>
<comments xmlns="http://schemas.openxmlformats.org/spreadsheetml/2006/main">
  <authors>
    <author>Katharina Bollig</author>
    <author>Loveleen</author>
  </authors>
  <commentList>
    <comment ref="B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All poor elderly will be covered</t>
        </r>
      </text>
    </comment>
    <comment ref="B13" authorId="1">
      <text>
        <r>
          <rPr>
            <b/>
            <sz val="9"/>
            <rFont val="Tahoma"/>
            <family val="2"/>
          </rPr>
          <t>Katharina Bollig:</t>
        </r>
        <r>
          <rPr>
            <sz val="9"/>
            <rFont val="Tahoma"/>
            <family val="2"/>
          </rPr>
          <t xml:space="preserve">
Assumption that all 60+ year olds are covered already.</t>
        </r>
      </text>
    </comment>
    <comment ref="I16" authorId="0">
      <text>
        <r>
          <rPr>
            <b/>
            <sz val="9"/>
            <rFont val="Segoe UI"/>
            <family val="2"/>
          </rPr>
          <t>Katharina Bollig:</t>
        </r>
        <r>
          <rPr>
            <sz val="9"/>
            <rFont val="Segoe UI"/>
            <family val="2"/>
          </rPr>
          <t xml:space="preserve">
Adjusted to cumulative inflation</t>
        </r>
      </text>
    </comment>
    <comment ref="N16" authorId="0">
      <text>
        <r>
          <rPr>
            <b/>
            <sz val="9"/>
            <rFont val="Segoe UI"/>
            <family val="2"/>
          </rPr>
          <t>Katharina Bollig:</t>
        </r>
        <r>
          <rPr>
            <sz val="9"/>
            <rFont val="Segoe UI"/>
            <family val="2"/>
          </rPr>
          <t xml:space="preserve">
Adjusted to cumulative inflation</t>
        </r>
      </text>
    </comment>
    <comment ref="B2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31" authorId="1">
      <text>
        <r>
          <rPr>
            <b/>
            <sz val="9"/>
            <rFont val="Tahoma"/>
            <family val="2"/>
          </rPr>
          <t>Katharina Bollig:</t>
        </r>
        <r>
          <rPr>
            <sz val="9"/>
            <rFont val="Tahoma"/>
            <family val="2"/>
          </rPr>
          <t xml:space="preserve">
Assumption that all 60+ year olds are covered already.</t>
        </r>
      </text>
    </comment>
    <comment ref="I34" authorId="0">
      <text>
        <r>
          <rPr>
            <b/>
            <sz val="9"/>
            <rFont val="Segoe UI"/>
            <family val="2"/>
          </rPr>
          <t>Katharina Bollig:</t>
        </r>
        <r>
          <rPr>
            <sz val="9"/>
            <rFont val="Segoe UI"/>
            <family val="2"/>
          </rPr>
          <t xml:space="preserve">
Adjusting to cumulative inflation</t>
        </r>
      </text>
    </comment>
    <comment ref="N34" authorId="0">
      <text>
        <r>
          <rPr>
            <b/>
            <sz val="9"/>
            <rFont val="Segoe UI"/>
            <family val="2"/>
          </rPr>
          <t>Katharina Bollig:</t>
        </r>
        <r>
          <rPr>
            <sz val="9"/>
            <rFont val="Segoe UI"/>
            <family val="2"/>
          </rPr>
          <t xml:space="preserve">
Adjusting to cumulative inflation</t>
        </r>
      </text>
    </comment>
    <comment ref="B40"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51" authorId="1">
      <text>
        <r>
          <rPr>
            <b/>
            <sz val="9"/>
            <rFont val="Tahoma"/>
            <family val="2"/>
          </rPr>
          <t>Katharina Bollig:</t>
        </r>
        <r>
          <rPr>
            <sz val="9"/>
            <rFont val="Tahoma"/>
            <family val="2"/>
          </rPr>
          <t xml:space="preserve">
Assumption that all 60+ year olds are covered already.</t>
        </r>
      </text>
    </comment>
    <comment ref="I54" authorId="0">
      <text>
        <r>
          <rPr>
            <b/>
            <sz val="9"/>
            <rFont val="Segoe UI"/>
            <family val="2"/>
          </rPr>
          <t>Katharina Bollig:</t>
        </r>
        <r>
          <rPr>
            <sz val="9"/>
            <rFont val="Segoe UI"/>
            <family val="2"/>
          </rPr>
          <t xml:space="preserve">
Adjusting to cumulative inflation</t>
        </r>
      </text>
    </comment>
    <comment ref="N54" authorId="0">
      <text>
        <r>
          <rPr>
            <b/>
            <sz val="9"/>
            <rFont val="Segoe UI"/>
            <family val="2"/>
          </rPr>
          <t>Katharina Bollig:</t>
        </r>
        <r>
          <rPr>
            <sz val="9"/>
            <rFont val="Segoe UI"/>
            <family val="2"/>
          </rPr>
          <t xml:space="preserve">
Adjusting to cumulative inflation</t>
        </r>
      </text>
    </comment>
    <comment ref="I65" authorId="0">
      <text>
        <r>
          <rPr>
            <b/>
            <sz val="9"/>
            <rFont val="Segoe UI"/>
            <family val="2"/>
          </rPr>
          <t>Katharina Bollig:</t>
        </r>
        <r>
          <rPr>
            <sz val="9"/>
            <rFont val="Segoe UI"/>
            <family val="2"/>
          </rPr>
          <t xml:space="preserve">
Adjusting to cumulative inflation</t>
        </r>
      </text>
    </comment>
    <comment ref="N65" authorId="0">
      <text>
        <r>
          <rPr>
            <b/>
            <sz val="9"/>
            <rFont val="Segoe UI"/>
            <family val="2"/>
          </rPr>
          <t>Katharina Bollig:</t>
        </r>
        <r>
          <rPr>
            <sz val="9"/>
            <rFont val="Segoe UI"/>
            <family val="2"/>
          </rPr>
          <t xml:space="preserve">
Adjusting to cumulative inflation</t>
        </r>
      </text>
    </comment>
    <comment ref="B7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7% as beneficiary numbers increase.</t>
        </r>
      </text>
    </comment>
    <comment ref="B82" authorId="1">
      <text>
        <r>
          <rPr>
            <b/>
            <sz val="9"/>
            <rFont val="Tahoma"/>
            <family val="2"/>
          </rPr>
          <t>Katharina Bollig:</t>
        </r>
        <r>
          <rPr>
            <sz val="9"/>
            <rFont val="Tahoma"/>
            <family val="2"/>
          </rPr>
          <t xml:space="preserve">
Assumption that all 60+ year olds are covered already.</t>
        </r>
      </text>
    </comment>
    <comment ref="I85" authorId="0">
      <text>
        <r>
          <rPr>
            <b/>
            <sz val="9"/>
            <rFont val="Segoe UI"/>
            <family val="2"/>
          </rPr>
          <t>Katharina Bollig:</t>
        </r>
        <r>
          <rPr>
            <sz val="9"/>
            <rFont val="Segoe UI"/>
            <family val="2"/>
          </rPr>
          <t xml:space="preserve">
Adjusting to cumulative inflation</t>
        </r>
      </text>
    </comment>
    <comment ref="N85" authorId="0">
      <text>
        <r>
          <rPr>
            <b/>
            <sz val="9"/>
            <rFont val="Segoe UI"/>
            <family val="2"/>
          </rPr>
          <t>Katharina Bollig:</t>
        </r>
        <r>
          <rPr>
            <sz val="9"/>
            <rFont val="Segoe UI"/>
            <family val="2"/>
          </rPr>
          <t xml:space="preserve">
Adjusting to cumulative inflation</t>
        </r>
      </text>
    </comment>
    <comment ref="I96" authorId="0">
      <text>
        <r>
          <rPr>
            <b/>
            <sz val="9"/>
            <rFont val="Segoe UI"/>
            <family val="2"/>
          </rPr>
          <t>Katharina Bollig:</t>
        </r>
        <r>
          <rPr>
            <sz val="9"/>
            <rFont val="Segoe UI"/>
            <family val="2"/>
          </rPr>
          <t xml:space="preserve">
Adjusting to cumulative inflation</t>
        </r>
      </text>
    </comment>
    <comment ref="N96" authorId="0">
      <text>
        <r>
          <rPr>
            <b/>
            <sz val="9"/>
            <rFont val="Segoe UI"/>
            <family val="2"/>
          </rPr>
          <t>Katharina Bollig:</t>
        </r>
        <r>
          <rPr>
            <sz val="9"/>
            <rFont val="Segoe UI"/>
            <family val="2"/>
          </rPr>
          <t xml:space="preserve">
Adjusting to cumulative inflation</t>
        </r>
      </text>
    </comment>
    <comment ref="B10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7% as beneficiary numbers increase.</t>
        </r>
      </text>
    </comment>
    <comment ref="B11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19" authorId="0">
      <text>
        <r>
          <rPr>
            <b/>
            <sz val="9"/>
            <rFont val="Segoe UI"/>
            <family val="2"/>
          </rPr>
          <t>Katharina Bollig:</t>
        </r>
        <r>
          <rPr>
            <sz val="9"/>
            <rFont val="Segoe UI"/>
            <family val="2"/>
          </rPr>
          <t xml:space="preserve">
Adjusting to cumulative inflation</t>
        </r>
      </text>
    </comment>
    <comment ref="N119" authorId="0">
      <text>
        <r>
          <rPr>
            <b/>
            <sz val="9"/>
            <rFont val="Segoe UI"/>
            <family val="2"/>
          </rPr>
          <t>Katharina Bollig:</t>
        </r>
        <r>
          <rPr>
            <sz val="9"/>
            <rFont val="Segoe UI"/>
            <family val="2"/>
          </rPr>
          <t xml:space="preserve">
Adjusting to cumulative inflation</t>
        </r>
      </text>
    </comment>
    <comment ref="B12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7%, as beneficiary numbers increase.</t>
        </r>
      </text>
    </comment>
    <comment ref="B13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39" authorId="0">
      <text>
        <r>
          <rPr>
            <b/>
            <sz val="9"/>
            <rFont val="Segoe UI"/>
            <family val="2"/>
          </rPr>
          <t>Katharina Bollig:</t>
        </r>
        <r>
          <rPr>
            <sz val="9"/>
            <rFont val="Segoe UI"/>
            <family val="2"/>
          </rPr>
          <t xml:space="preserve">
Adjusting to cumulative inflation</t>
        </r>
      </text>
    </comment>
    <comment ref="N139" authorId="0">
      <text>
        <r>
          <rPr>
            <b/>
            <sz val="9"/>
            <rFont val="Segoe UI"/>
            <family val="2"/>
          </rPr>
          <t>Katharina Bollig:</t>
        </r>
        <r>
          <rPr>
            <sz val="9"/>
            <rFont val="Segoe UI"/>
            <family val="2"/>
          </rPr>
          <t xml:space="preserve">
Adjusting to cumulative inflation</t>
        </r>
      </text>
    </comment>
    <comment ref="B14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Admin costs of 3%, as beneficiary numbers increase.</t>
        </r>
      </text>
    </comment>
    <comment ref="B155" authorId="1">
      <text>
        <r>
          <rPr>
            <b/>
            <sz val="9"/>
            <rFont val="Tahoma"/>
            <family val="2"/>
          </rPr>
          <t>Katharina Bollig:</t>
        </r>
        <r>
          <rPr>
            <sz val="9"/>
            <rFont val="Tahoma"/>
            <family val="2"/>
          </rPr>
          <t xml:space="preserve">
Assumption that all 60+ year olds are covered already.</t>
        </r>
      </text>
    </comment>
    <comment ref="I158" authorId="0">
      <text>
        <r>
          <rPr>
            <b/>
            <sz val="9"/>
            <rFont val="Segoe UI"/>
            <family val="2"/>
          </rPr>
          <t>Katharina Bollig:</t>
        </r>
        <r>
          <rPr>
            <sz val="9"/>
            <rFont val="Segoe UI"/>
            <family val="2"/>
          </rPr>
          <t xml:space="preserve">
Adjusting to cumulative inflation</t>
        </r>
      </text>
    </comment>
    <comment ref="N158" authorId="0">
      <text>
        <r>
          <rPr>
            <b/>
            <sz val="9"/>
            <rFont val="Segoe UI"/>
            <family val="2"/>
          </rPr>
          <t>Katharina Bollig:</t>
        </r>
        <r>
          <rPr>
            <sz val="9"/>
            <rFont val="Segoe UI"/>
            <family val="2"/>
          </rPr>
          <t xml:space="preserve">
Adjusting to cumulative inflation</t>
        </r>
      </text>
    </comment>
    <comment ref="B164"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74" authorId="1">
      <text>
        <r>
          <rPr>
            <b/>
            <sz val="9"/>
            <rFont val="Tahoma"/>
            <family val="2"/>
          </rPr>
          <t>Katharina Bollig:</t>
        </r>
        <r>
          <rPr>
            <sz val="9"/>
            <rFont val="Tahoma"/>
            <family val="2"/>
          </rPr>
          <t xml:space="preserve">
Assumption that all 60+ year olds are covered already.</t>
        </r>
      </text>
    </comment>
    <comment ref="I177" authorId="0">
      <text>
        <r>
          <rPr>
            <b/>
            <sz val="9"/>
            <rFont val="Segoe UI"/>
            <family val="2"/>
          </rPr>
          <t>Katharina Bollig:</t>
        </r>
        <r>
          <rPr>
            <sz val="9"/>
            <rFont val="Segoe UI"/>
            <family val="2"/>
          </rPr>
          <t xml:space="preserve">
Adjusting to cumulative inflation</t>
        </r>
      </text>
    </comment>
    <comment ref="N177" authorId="0">
      <text>
        <r>
          <rPr>
            <b/>
            <sz val="9"/>
            <rFont val="Segoe UI"/>
            <family val="2"/>
          </rPr>
          <t>Katharina Bollig:</t>
        </r>
        <r>
          <rPr>
            <sz val="9"/>
            <rFont val="Segoe UI"/>
            <family val="2"/>
          </rPr>
          <t xml:space="preserve">
Adjusting to cumulative inflation</t>
        </r>
      </text>
    </comment>
    <comment ref="B18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92" authorId="1">
      <text>
        <r>
          <rPr>
            <b/>
            <sz val="9"/>
            <rFont val="Tahoma"/>
            <family val="2"/>
          </rPr>
          <t>Katharina Bollig:</t>
        </r>
        <r>
          <rPr>
            <sz val="9"/>
            <rFont val="Tahoma"/>
            <family val="2"/>
          </rPr>
          <t xml:space="preserve">
Assumption that all 60+ year olds are covered already.</t>
        </r>
      </text>
    </comment>
    <comment ref="I195" authorId="0">
      <text>
        <r>
          <rPr>
            <b/>
            <sz val="9"/>
            <rFont val="Segoe UI"/>
            <family val="2"/>
          </rPr>
          <t>Katharina Bollig:</t>
        </r>
        <r>
          <rPr>
            <sz val="9"/>
            <rFont val="Segoe UI"/>
            <family val="2"/>
          </rPr>
          <t xml:space="preserve">
Adjusting to cumulative inflation</t>
        </r>
      </text>
    </comment>
    <comment ref="N195" authorId="0">
      <text>
        <r>
          <rPr>
            <b/>
            <sz val="9"/>
            <rFont val="Segoe UI"/>
            <family val="2"/>
          </rPr>
          <t>Katharina Bollig:</t>
        </r>
        <r>
          <rPr>
            <sz val="9"/>
            <rFont val="Segoe UI"/>
            <family val="2"/>
          </rPr>
          <t xml:space="preserve">
Adjusting to cumulative inflation</t>
        </r>
      </text>
    </comment>
    <comment ref="D200" authorId="0">
      <text>
        <r>
          <rPr>
            <b/>
            <sz val="9"/>
            <rFont val="Segoe UI"/>
            <family val="2"/>
          </rPr>
          <t>Katharina Bollig:</t>
        </r>
        <r>
          <rPr>
            <u val="single"/>
            <sz val="9"/>
            <rFont val="Segoe UI"/>
            <family val="2"/>
          </rPr>
          <t xml:space="preserve">
Assumption:</t>
        </r>
        <r>
          <rPr>
            <sz val="9"/>
            <rFont val="Segoe UI"/>
            <family val="2"/>
          </rPr>
          <t xml:space="preserve"> 
Administrative cost of 3%, as only benefit amount is increased.</t>
        </r>
      </text>
    </comment>
    <comment ref="J20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
Administrative cost of 7%, as number of beneficiaries increases</t>
        </r>
      </text>
    </comment>
  </commentList>
</comments>
</file>

<file path=xl/comments11.xml><?xml version="1.0" encoding="utf-8"?>
<comments xmlns="http://schemas.openxmlformats.org/spreadsheetml/2006/main">
  <authors>
    <author>Loveleen</author>
    <author>Katharina Bollig</author>
  </authors>
  <commentList>
    <comment ref="B12" authorId="0">
      <text>
        <r>
          <rPr>
            <b/>
            <sz val="9"/>
            <rFont val="Tahoma"/>
            <family val="2"/>
          </rPr>
          <t>Loveleen:</t>
        </r>
        <r>
          <rPr>
            <sz val="9"/>
            <rFont val="Tahoma"/>
            <family val="2"/>
          </rPr>
          <t xml:space="preserve">
Assumed to remain constant, as no data on the number of PWDs who are (non-)members of SSS is available. </t>
        </r>
      </text>
    </comment>
    <comment ref="B20" authorId="1">
      <text>
        <r>
          <rPr>
            <b/>
            <sz val="9"/>
            <rFont val="Segoe UI"/>
            <family val="2"/>
          </rPr>
          <t>Katharina Bollig:</t>
        </r>
        <r>
          <rPr>
            <sz val="9"/>
            <rFont val="Segoe UI"/>
            <family val="2"/>
          </rPr>
          <t xml:space="preserve">
15% as it is a new scheme</t>
        </r>
      </text>
    </comment>
    <comment ref="B28" authorId="0">
      <text>
        <r>
          <rPr>
            <b/>
            <sz val="9"/>
            <rFont val="Tahoma"/>
            <family val="2"/>
          </rPr>
          <t>Loveleen:</t>
        </r>
        <r>
          <rPr>
            <sz val="9"/>
            <rFont val="Tahoma"/>
            <family val="2"/>
          </rPr>
          <t xml:space="preserve">
Assumed to remain constant.</t>
        </r>
      </text>
    </comment>
    <comment ref="B36" authorId="1">
      <text>
        <r>
          <rPr>
            <b/>
            <sz val="9"/>
            <rFont val="Segoe UI"/>
            <family val="2"/>
          </rPr>
          <t>Katharina Bollig:</t>
        </r>
        <r>
          <rPr>
            <sz val="9"/>
            <rFont val="Segoe UI"/>
            <family val="2"/>
          </rPr>
          <t xml:space="preserve">
15% as it is a new scheme</t>
        </r>
      </text>
    </comment>
    <comment ref="B50" authorId="1">
      <text>
        <r>
          <rPr>
            <b/>
            <sz val="9"/>
            <rFont val="Segoe UI"/>
            <family val="2"/>
          </rPr>
          <t>Katharina Bollig:</t>
        </r>
        <r>
          <rPr>
            <sz val="9"/>
            <rFont val="Segoe UI"/>
            <family val="2"/>
          </rPr>
          <t xml:space="preserve">
15% as it is a new scheme</t>
        </r>
      </text>
    </comment>
    <comment ref="B64" authorId="1">
      <text>
        <r>
          <rPr>
            <b/>
            <sz val="9"/>
            <rFont val="Segoe UI"/>
            <family val="2"/>
          </rPr>
          <t>Katharina Bollig:</t>
        </r>
        <r>
          <rPr>
            <sz val="9"/>
            <rFont val="Segoe UI"/>
            <family val="2"/>
          </rPr>
          <t xml:space="preserve">
15% as it is a new scheme</t>
        </r>
      </text>
    </comment>
  </commentList>
</comments>
</file>

<file path=xl/comments12.xml><?xml version="1.0" encoding="utf-8"?>
<comments xmlns="http://schemas.openxmlformats.org/spreadsheetml/2006/main">
  <authors>
    <author>Katharina Bollig</author>
    <author>Loveleen</author>
  </authors>
  <commentList>
    <comment ref="B26" authorId="0">
      <text>
        <r>
          <rPr>
            <b/>
            <sz val="9"/>
            <rFont val="Segoe UI"/>
            <family val="2"/>
          </rPr>
          <t>Katharina Bollig:</t>
        </r>
        <r>
          <rPr>
            <sz val="9"/>
            <rFont val="Segoe UI"/>
            <family val="2"/>
          </rPr>
          <t xml:space="preserve">
Scenario 7a
</t>
        </r>
      </text>
    </comment>
    <comment ref="B27" authorId="0">
      <text>
        <r>
          <rPr>
            <b/>
            <sz val="9"/>
            <rFont val="Segoe UI"/>
            <family val="2"/>
          </rPr>
          <t>Katharina Bollig:</t>
        </r>
        <r>
          <rPr>
            <sz val="9"/>
            <rFont val="Segoe UI"/>
            <family val="2"/>
          </rPr>
          <t xml:space="preserve">
Scenario 7b</t>
        </r>
      </text>
    </comment>
    <comment ref="B28" authorId="0">
      <text>
        <r>
          <rPr>
            <b/>
            <sz val="9"/>
            <rFont val="Segoe UI"/>
            <family val="2"/>
          </rPr>
          <t>Katharina Bollig:</t>
        </r>
        <r>
          <rPr>
            <sz val="9"/>
            <rFont val="Segoe UI"/>
            <family val="2"/>
          </rPr>
          <t xml:space="preserve">
Scenario 8a</t>
        </r>
      </text>
    </comment>
    <comment ref="B29" authorId="0">
      <text>
        <r>
          <rPr>
            <b/>
            <sz val="9"/>
            <rFont val="Segoe UI"/>
            <family val="2"/>
          </rPr>
          <t>Katharina Bollig:</t>
        </r>
        <r>
          <rPr>
            <sz val="9"/>
            <rFont val="Segoe UI"/>
            <family val="2"/>
          </rPr>
          <t xml:space="preserve">
Scenario 8b
</t>
        </r>
      </text>
    </comment>
    <comment ref="B35" authorId="0">
      <text>
        <r>
          <rPr>
            <b/>
            <sz val="9"/>
            <rFont val="Segoe UI"/>
            <family val="2"/>
          </rPr>
          <t>Katharina Bollig:</t>
        </r>
        <r>
          <rPr>
            <sz val="9"/>
            <rFont val="Segoe UI"/>
            <family val="2"/>
          </rPr>
          <t xml:space="preserve">
Scenario 4a
</t>
        </r>
      </text>
    </comment>
    <comment ref="B36" authorId="0">
      <text>
        <r>
          <rPr>
            <b/>
            <sz val="9"/>
            <rFont val="Segoe UI"/>
            <family val="2"/>
          </rPr>
          <t>Katharina Bollig:</t>
        </r>
        <r>
          <rPr>
            <sz val="9"/>
            <rFont val="Segoe UI"/>
            <family val="2"/>
          </rPr>
          <t xml:space="preserve">
Scenario 4b
</t>
        </r>
      </text>
    </comment>
    <comment ref="B113" authorId="1">
      <text>
        <r>
          <rPr>
            <b/>
            <sz val="9"/>
            <rFont val="Tahoma"/>
            <family val="2"/>
          </rPr>
          <t>Loveleen:</t>
        </r>
        <r>
          <rPr>
            <sz val="9"/>
            <rFont val="Tahoma"/>
            <family val="2"/>
          </rPr>
          <t xml:space="preserve">
Scenario 3a (lowest)</t>
        </r>
      </text>
    </comment>
    <comment ref="B114" authorId="1">
      <text>
        <r>
          <rPr>
            <b/>
            <sz val="9"/>
            <rFont val="Tahoma"/>
            <family val="2"/>
          </rPr>
          <t>Loveleen:</t>
        </r>
        <r>
          <rPr>
            <sz val="9"/>
            <rFont val="Tahoma"/>
            <family val="2"/>
          </rPr>
          <t xml:space="preserve">
Scenario 4a (lowest)</t>
        </r>
      </text>
    </comment>
    <comment ref="B116" authorId="0">
      <text>
        <r>
          <rPr>
            <b/>
            <sz val="9"/>
            <rFont val="Segoe UI"/>
            <family val="2"/>
          </rPr>
          <t>Katharina Bollig:</t>
        </r>
        <r>
          <rPr>
            <sz val="9"/>
            <rFont val="Segoe UI"/>
            <family val="2"/>
          </rPr>
          <t xml:space="preserve">
Scenario 7a
</t>
        </r>
      </text>
    </comment>
    <comment ref="B117" authorId="0">
      <text>
        <r>
          <rPr>
            <b/>
            <sz val="9"/>
            <rFont val="Segoe UI"/>
            <family val="2"/>
          </rPr>
          <t>Katharina Bollig:</t>
        </r>
        <r>
          <rPr>
            <sz val="9"/>
            <rFont val="Segoe UI"/>
            <family val="2"/>
          </rPr>
          <t xml:space="preserve">
Scenario 7b</t>
        </r>
      </text>
    </comment>
    <comment ref="B118" authorId="0">
      <text>
        <r>
          <rPr>
            <b/>
            <sz val="9"/>
            <rFont val="Segoe UI"/>
            <family val="2"/>
          </rPr>
          <t>Katharina Bollig:</t>
        </r>
        <r>
          <rPr>
            <sz val="9"/>
            <rFont val="Segoe UI"/>
            <family val="2"/>
          </rPr>
          <t xml:space="preserve">
Scenario 8a</t>
        </r>
      </text>
    </comment>
    <comment ref="B119" authorId="0">
      <text>
        <r>
          <rPr>
            <b/>
            <sz val="9"/>
            <rFont val="Segoe UI"/>
            <family val="2"/>
          </rPr>
          <t>Katharina Bollig:</t>
        </r>
        <r>
          <rPr>
            <sz val="9"/>
            <rFont val="Segoe UI"/>
            <family val="2"/>
          </rPr>
          <t xml:space="preserve">
Scenario 8b</t>
        </r>
      </text>
    </comment>
    <comment ref="B120" authorId="0">
      <text>
        <r>
          <rPr>
            <b/>
            <sz val="9"/>
            <rFont val="Segoe UI"/>
            <family val="2"/>
          </rPr>
          <t>Katharina Bollig:</t>
        </r>
        <r>
          <rPr>
            <sz val="9"/>
            <rFont val="Segoe UI"/>
            <family val="2"/>
          </rPr>
          <t xml:space="preserve">
Scenario 9a</t>
        </r>
      </text>
    </comment>
    <comment ref="B121" authorId="0">
      <text>
        <r>
          <rPr>
            <b/>
            <sz val="9"/>
            <rFont val="Segoe UI"/>
            <family val="2"/>
          </rPr>
          <t>Katharina Bollig:</t>
        </r>
        <r>
          <rPr>
            <sz val="9"/>
            <rFont val="Segoe UI"/>
            <family val="2"/>
          </rPr>
          <t xml:space="preserve">
Scenario 9b</t>
        </r>
      </text>
    </comment>
    <comment ref="B125" authorId="0">
      <text>
        <r>
          <rPr>
            <b/>
            <sz val="9"/>
            <rFont val="Segoe UI"/>
            <family val="2"/>
          </rPr>
          <t>Katharina Bollig:</t>
        </r>
        <r>
          <rPr>
            <sz val="9"/>
            <rFont val="Segoe UI"/>
            <family val="2"/>
          </rPr>
          <t xml:space="preserve">
Scenario 4a
</t>
        </r>
      </text>
    </comment>
    <comment ref="B126" authorId="0">
      <text>
        <r>
          <rPr>
            <b/>
            <sz val="9"/>
            <rFont val="Segoe UI"/>
            <family val="2"/>
          </rPr>
          <t>Katharina Bollig:</t>
        </r>
        <r>
          <rPr>
            <sz val="9"/>
            <rFont val="Segoe UI"/>
            <family val="2"/>
          </rPr>
          <t xml:space="preserve">
Scenario 4b
</t>
        </r>
      </text>
    </comment>
  </commentList>
</comments>
</file>

<file path=xl/comments14.xml><?xml version="1.0" encoding="utf-8"?>
<comments xmlns="http://schemas.openxmlformats.org/spreadsheetml/2006/main">
  <authors>
    <author>Katharina Bollig</author>
  </authors>
  <commentList>
    <comment ref="L153" authorId="0">
      <text>
        <r>
          <rPr>
            <b/>
            <sz val="9"/>
            <rFont val="Segoe UI"/>
            <family val="2"/>
          </rPr>
          <t>Katharina Bollig:</t>
        </r>
        <r>
          <rPr>
            <sz val="9"/>
            <rFont val="Segoe UI"/>
            <family val="2"/>
          </rPr>
          <t xml:space="preserve">
as of August 2015</t>
        </r>
      </text>
    </comment>
  </commentList>
</comments>
</file>

<file path=xl/comments2.xml><?xml version="1.0" encoding="utf-8"?>
<comments xmlns="http://schemas.openxmlformats.org/spreadsheetml/2006/main">
  <authors>
    <author>Katharina Bollig</author>
    <author>Loveleen</author>
  </authors>
  <commentList>
    <comment ref="G74" authorId="0">
      <text>
        <r>
          <rPr>
            <b/>
            <sz val="9"/>
            <rFont val="Segoe UI"/>
            <family val="2"/>
          </rPr>
          <t>Katharina Bollig:</t>
        </r>
        <r>
          <rPr>
            <sz val="9"/>
            <rFont val="Segoe UI"/>
            <family val="2"/>
          </rPr>
          <t xml:space="preserve">
PSA</t>
        </r>
      </text>
    </comment>
    <comment ref="G75" authorId="0">
      <text>
        <r>
          <rPr>
            <b/>
            <sz val="9"/>
            <rFont val="Segoe UI"/>
            <family val="2"/>
          </rPr>
          <t>Katharina Bollig:</t>
        </r>
        <r>
          <rPr>
            <sz val="9"/>
            <rFont val="Segoe UI"/>
            <family val="2"/>
          </rPr>
          <t xml:space="preserve">
according to PSA</t>
        </r>
      </text>
    </comment>
    <comment ref="B83" authorId="0">
      <text>
        <r>
          <rPr>
            <b/>
            <sz val="9"/>
            <rFont val="Segoe UI"/>
            <family val="2"/>
          </rPr>
          <t>Katharina Bollig:</t>
        </r>
        <r>
          <rPr>
            <sz val="9"/>
            <rFont val="Segoe UI"/>
            <family val="2"/>
          </rPr>
          <t xml:space="preserve">
School year 2005-06</t>
        </r>
      </text>
    </comment>
    <comment ref="A91" authorId="0">
      <text>
        <r>
          <rPr>
            <b/>
            <sz val="9"/>
            <rFont val="Segoe UI"/>
            <family val="2"/>
          </rPr>
          <t>Katharina Bollig:</t>
        </r>
        <r>
          <rPr>
            <sz val="9"/>
            <rFont val="Segoe UI"/>
            <family val="2"/>
          </rPr>
          <t xml:space="preserve">
graduates or certified?</t>
        </r>
      </text>
    </comment>
    <comment ref="E93" authorId="1">
      <text>
        <r>
          <rPr>
            <b/>
            <sz val="9"/>
            <rFont val="Tahoma"/>
            <family val="2"/>
          </rPr>
          <t>Loveleen:</t>
        </r>
        <r>
          <rPr>
            <sz val="9"/>
            <rFont val="Tahoma"/>
            <family val="2"/>
          </rPr>
          <t xml:space="preserve">
1. IES covers a sample of graduates for evaluation
2. Response rate 58%
3. Includes:
- 58,024 centre-based
- 12,117 enterprise-based
- 146,799 school-based</t>
        </r>
      </text>
    </comment>
    <comment ref="G93" authorId="1">
      <text>
        <r>
          <rPr>
            <b/>
            <sz val="9"/>
            <rFont val="Tahoma"/>
            <family val="2"/>
          </rPr>
          <t>Loveleen:</t>
        </r>
        <r>
          <rPr>
            <sz val="9"/>
            <rFont val="Tahoma"/>
            <family val="2"/>
          </rPr>
          <t xml:space="preserve">
Includes:
- 142,282 community-based
- 36,700 enterprise-based
- 363,842 institution-based</t>
        </r>
      </text>
    </comment>
    <comment ref="I93" authorId="1">
      <text>
        <r>
          <rPr>
            <b/>
            <sz val="9"/>
            <rFont val="Tahoma"/>
            <family val="2"/>
          </rPr>
          <t>Loveleen:</t>
        </r>
        <r>
          <rPr>
            <sz val="9"/>
            <rFont val="Tahoma"/>
            <family val="2"/>
          </rPr>
          <t xml:space="preserve">
Includes:
- 211,465 community-based
- 42,542 enterprise-based
- 534,433 institution-based</t>
        </r>
      </text>
    </comment>
    <comment ref="K95" authorId="1">
      <text>
        <r>
          <rPr>
            <b/>
            <sz val="9"/>
            <rFont val="Tahoma"/>
            <family val="2"/>
          </rPr>
          <t>Loveleen:</t>
        </r>
        <r>
          <rPr>
            <sz val="9"/>
            <rFont val="Tahoma"/>
            <family val="2"/>
          </rPr>
          <t xml:space="preserve">
31,387,446 (June 2014)</t>
        </r>
      </text>
    </comment>
    <comment ref="L95" authorId="0">
      <text>
        <r>
          <rPr>
            <b/>
            <sz val="9"/>
            <rFont val="Segoe UI"/>
            <family val="2"/>
          </rPr>
          <t>Katharina Bollig:</t>
        </r>
        <r>
          <rPr>
            <sz val="9"/>
            <rFont val="Segoe UI"/>
            <family val="2"/>
          </rPr>
          <t xml:space="preserve">
33,458,392 in March 2015</t>
        </r>
      </text>
    </comment>
    <comment ref="J103" authorId="0">
      <text>
        <r>
          <rPr>
            <b/>
            <sz val="9"/>
            <rFont val="Segoe UI"/>
            <family val="2"/>
          </rPr>
          <t>Katharina Bollig:</t>
        </r>
        <r>
          <rPr>
            <sz val="9"/>
            <rFont val="Segoe UI"/>
            <family val="2"/>
          </rPr>
          <t xml:space="preserve">
severely wasted (SW)</t>
        </r>
      </text>
    </comment>
    <comment ref="K103" authorId="0">
      <text>
        <r>
          <rPr>
            <b/>
            <sz val="9"/>
            <rFont val="Segoe UI"/>
            <family val="2"/>
          </rPr>
          <t>Katharina Bollig:</t>
        </r>
        <r>
          <rPr>
            <sz val="9"/>
            <rFont val="Segoe UI"/>
            <family val="2"/>
          </rPr>
          <t xml:space="preserve">
severely wasted (SW)</t>
        </r>
      </text>
    </comment>
    <comment ref="L103" authorId="0">
      <text>
        <r>
          <rPr>
            <b/>
            <sz val="9"/>
            <rFont val="Segoe UI"/>
            <family val="2"/>
          </rPr>
          <t>Katharina Bollig:</t>
        </r>
        <r>
          <rPr>
            <sz val="9"/>
            <rFont val="Segoe UI"/>
            <family val="2"/>
          </rPr>
          <t xml:space="preserve">
SY 2014-15
severely wasted (SW)</t>
        </r>
      </text>
    </comment>
    <comment ref="M103" authorId="0">
      <text>
        <r>
          <rPr>
            <b/>
            <sz val="9"/>
            <rFont val="Segoe UI"/>
            <family val="2"/>
          </rPr>
          <t>Katharina Bollig:</t>
        </r>
        <r>
          <rPr>
            <sz val="9"/>
            <rFont val="Segoe UI"/>
            <family val="2"/>
          </rPr>
          <t xml:space="preserve">
Target
532,752 severely wasted (SW) and 627,403 wasted (W)</t>
        </r>
      </text>
    </comment>
    <comment ref="N103"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Coverage will increase at growth rate of public school enrolment.</t>
        </r>
      </text>
    </comment>
    <comment ref="D105" authorId="0">
      <text>
        <r>
          <rPr>
            <b/>
            <sz val="9"/>
            <rFont val="Segoe UI"/>
            <family val="2"/>
          </rPr>
          <t>Katharina Bollig:</t>
        </r>
        <r>
          <rPr>
            <sz val="9"/>
            <rFont val="Segoe UI"/>
            <family val="2"/>
          </rPr>
          <t xml:space="preserve">
Pilot</t>
        </r>
      </text>
    </comment>
    <comment ref="I105" authorId="0">
      <text>
        <r>
          <rPr>
            <b/>
            <sz val="9"/>
            <rFont val="Segoe UI"/>
            <family val="2"/>
          </rPr>
          <t>Katharina Bollig:</t>
        </r>
        <r>
          <rPr>
            <sz val="9"/>
            <rFont val="Segoe UI"/>
            <family val="2"/>
          </rPr>
          <t xml:space="preserve">
Sept 2012
</t>
        </r>
      </text>
    </comment>
    <comment ref="L105" authorId="0">
      <text>
        <r>
          <rPr>
            <b/>
            <sz val="9"/>
            <rFont val="Segoe UI"/>
            <family val="2"/>
          </rPr>
          <t>Katharina Bollig:</t>
        </r>
        <r>
          <rPr>
            <sz val="9"/>
            <rFont val="Segoe UI"/>
            <family val="2"/>
          </rPr>
          <t xml:space="preserve">
as of August 2015</t>
        </r>
      </text>
    </comment>
    <comment ref="J107" authorId="0">
      <text>
        <r>
          <rPr>
            <b/>
            <sz val="9"/>
            <rFont val="Segoe UI"/>
            <family val="2"/>
          </rPr>
          <t>Katharina Bollig:</t>
        </r>
        <r>
          <rPr>
            <sz val="9"/>
            <rFont val="Segoe UI"/>
            <family val="2"/>
          </rPr>
          <t xml:space="preserve">
as of July 2013</t>
        </r>
      </text>
    </comment>
    <comment ref="L107" authorId="0">
      <text>
        <r>
          <rPr>
            <b/>
            <sz val="9"/>
            <rFont val="Segoe UI"/>
            <family val="2"/>
          </rPr>
          <t>Katharina Bollig:</t>
        </r>
        <r>
          <rPr>
            <sz val="9"/>
            <rFont val="Segoe UI"/>
            <family val="2"/>
          </rPr>
          <t xml:space="preserve">
as of August 2015
</t>
        </r>
      </text>
    </comment>
  </commentList>
</comments>
</file>

<file path=xl/comments4.xml><?xml version="1.0" encoding="utf-8"?>
<comments xmlns="http://schemas.openxmlformats.org/spreadsheetml/2006/main">
  <authors>
    <author>Katharina Bollig</author>
  </authors>
  <commentList>
    <comment ref="L9" authorId="0">
      <text>
        <r>
          <rPr>
            <b/>
            <sz val="9"/>
            <rFont val="Segoe UI"/>
            <family val="2"/>
          </rPr>
          <t>Katharina Bollig:</t>
        </r>
        <r>
          <rPr>
            <sz val="9"/>
            <rFont val="Segoe UI"/>
            <family val="2"/>
          </rPr>
          <t xml:space="preserve">
excluding December 2015</t>
        </r>
      </text>
    </comment>
    <comment ref="K21" authorId="0">
      <text>
        <r>
          <rPr>
            <b/>
            <sz val="9"/>
            <rFont val="Segoe UI"/>
            <family val="2"/>
          </rPr>
          <t>Katharina Bollig:</t>
        </r>
        <r>
          <rPr>
            <sz val="9"/>
            <rFont val="Segoe UI"/>
            <family val="2"/>
          </rPr>
          <t xml:space="preserve">
was revised to 6.8%</t>
        </r>
      </text>
    </comment>
    <comment ref="F42" authorId="0">
      <text>
        <r>
          <rPr>
            <b/>
            <sz val="9"/>
            <rFont val="Segoe UI"/>
            <family val="2"/>
          </rPr>
          <t>Katharina Bollig:</t>
        </r>
        <r>
          <rPr>
            <sz val="9"/>
            <rFont val="Segoe UI"/>
            <family val="2"/>
          </rPr>
          <t xml:space="preserve">
Only 2nd, 3rd and 4th quarter available</t>
        </r>
      </text>
    </comment>
    <comment ref="I42" authorId="0">
      <text>
        <r>
          <rPr>
            <b/>
            <sz val="9"/>
            <rFont val="Segoe UI"/>
            <family val="2"/>
          </rPr>
          <t>Katharina Bollig:</t>
        </r>
        <r>
          <rPr>
            <sz val="9"/>
            <rFont val="Segoe UI"/>
            <family val="2"/>
          </rPr>
          <t xml:space="preserve">
Only 1st and 2nd quarter available</t>
        </r>
      </text>
    </comment>
    <comment ref="L42" authorId="0">
      <text>
        <r>
          <rPr>
            <b/>
            <sz val="9"/>
            <rFont val="Segoe UI"/>
            <family val="2"/>
          </rPr>
          <t>Katharina Bollig:</t>
        </r>
        <r>
          <rPr>
            <sz val="9"/>
            <rFont val="Segoe UI"/>
            <family val="2"/>
          </rPr>
          <t xml:space="preserve">
1st quarter</t>
        </r>
      </text>
    </comment>
    <comment ref="J56" authorId="0">
      <text>
        <r>
          <rPr>
            <b/>
            <sz val="9"/>
            <rFont val="Segoe UI"/>
            <family val="2"/>
          </rPr>
          <t>Katharina Bollig:</t>
        </r>
        <r>
          <rPr>
            <sz val="9"/>
            <rFont val="Segoe UI"/>
            <family val="2"/>
          </rPr>
          <t xml:space="preserve">
PSA estimate</t>
        </r>
      </text>
    </comment>
    <comment ref="K56" authorId="0">
      <text>
        <r>
          <rPr>
            <b/>
            <sz val="9"/>
            <rFont val="Segoe UI"/>
            <family val="2"/>
          </rPr>
          <t>Katharina Bollig:</t>
        </r>
        <r>
          <rPr>
            <sz val="9"/>
            <rFont val="Segoe UI"/>
            <family val="2"/>
          </rPr>
          <t xml:space="preserve">
PSA estimate
</t>
        </r>
      </text>
    </comment>
  </commentList>
</comments>
</file>

<file path=xl/comments7.xml><?xml version="1.0" encoding="utf-8"?>
<comments xmlns="http://schemas.openxmlformats.org/spreadsheetml/2006/main">
  <authors>
    <author>Katharina Bollig</author>
    <author>Loveleen</author>
  </authors>
  <commentList>
    <comment ref="B1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Targeting near-poor and vulnerable IS workers; 
exluding poor according to poverty incidence of self-employed.
</t>
        </r>
      </text>
    </comment>
    <comment ref="B1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50% of the workers earn less than PHP25,000 per year (premium of PHP2,400), and 50% of the workers earn more than PHP25,000 per year (premium of PHP3,600).</t>
        </r>
      </text>
    </comment>
    <comment ref="B17"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24"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2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30" authorId="1">
      <text>
        <r>
          <rPr>
            <b/>
            <sz val="9"/>
            <rFont val="Tahoma"/>
            <family val="2"/>
          </rPr>
          <t xml:space="preserve">Katharina Bollig: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37"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43" authorId="1">
      <text>
        <r>
          <rPr>
            <b/>
            <sz val="9"/>
            <rFont val="Tahoma"/>
            <family val="2"/>
          </rPr>
          <t>Loveleen:</t>
        </r>
        <r>
          <rPr>
            <sz val="9"/>
            <rFont val="Tahoma"/>
            <family val="2"/>
          </rPr>
          <t xml:space="preserve">
</t>
        </r>
        <r>
          <rPr>
            <u val="single"/>
            <sz val="9"/>
            <rFont val="Tahoma"/>
            <family val="2"/>
          </rPr>
          <t xml:space="preserve">Assumption: </t>
        </r>
        <r>
          <rPr>
            <sz val="9"/>
            <rFont val="Tahoma"/>
            <family val="2"/>
          </rPr>
          <t xml:space="preserve">
3%, since it will use the existing infrastructure. Admin cost calculated as share of total premiums, not subsidy, as the amount of subsidy provided won't change the admin cost. </t>
        </r>
      </text>
    </comment>
  </commentList>
</comments>
</file>

<file path=xl/comments8.xml><?xml version="1.0" encoding="utf-8"?>
<comments xmlns="http://schemas.openxmlformats.org/spreadsheetml/2006/main">
  <authors>
    <author>Katharina Bollig</author>
    <author>Loveleen</author>
  </authors>
  <commentList>
    <comment ref="A12" authorId="0">
      <text>
        <r>
          <rPr>
            <b/>
            <sz val="9"/>
            <rFont val="Segoe UI"/>
            <family val="2"/>
          </rPr>
          <t>Katharina Bollig:</t>
        </r>
        <r>
          <rPr>
            <sz val="9"/>
            <rFont val="Segoe UI"/>
            <family val="2"/>
          </rPr>
          <t xml:space="preserve">
Paid for 12 months per year, currently at PHP500 per month</t>
        </r>
      </text>
    </comment>
    <comment ref="C12" authorId="0">
      <text>
        <r>
          <rPr>
            <b/>
            <sz val="9"/>
            <rFont val="Segoe UI"/>
            <family val="2"/>
          </rPr>
          <t>Katharina Bollig:</t>
        </r>
        <r>
          <rPr>
            <sz val="9"/>
            <rFont val="Segoe UI"/>
            <family val="2"/>
          </rPr>
          <t xml:space="preserve">
Paid for 10 months per year, currently at PHP300 per month</t>
        </r>
      </text>
    </comment>
    <comment ref="I12" authorId="0">
      <text>
        <r>
          <rPr>
            <b/>
            <sz val="9"/>
            <rFont val="Segoe UI"/>
            <family val="2"/>
          </rPr>
          <t>Katharina Bollig:</t>
        </r>
        <r>
          <rPr>
            <sz val="9"/>
            <rFont val="Segoe UI"/>
            <family val="2"/>
          </rPr>
          <t xml:space="preserve">
Paid for 10 months per year, currently at PHP500 per month</t>
        </r>
      </text>
    </comment>
    <comment ref="B2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3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5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Only a 3% increase, as the admin structure is in place, only the grant rates increase.</t>
        </r>
      </text>
    </comment>
    <comment ref="A58" authorId="0">
      <text>
        <r>
          <rPr>
            <b/>
            <sz val="9"/>
            <rFont val="Segoe UI"/>
            <family val="2"/>
          </rPr>
          <t>Katharina Bollig:</t>
        </r>
        <r>
          <rPr>
            <sz val="9"/>
            <rFont val="Segoe UI"/>
            <family val="2"/>
          </rPr>
          <t xml:space="preserve">
Paid for 12 months per year, currently at PHP500 per month</t>
        </r>
      </text>
    </comment>
    <comment ref="C58" authorId="0">
      <text>
        <r>
          <rPr>
            <b/>
            <sz val="9"/>
            <rFont val="Segoe UI"/>
            <family val="2"/>
          </rPr>
          <t>Katharina Bollig:</t>
        </r>
        <r>
          <rPr>
            <sz val="9"/>
            <rFont val="Segoe UI"/>
            <family val="2"/>
          </rPr>
          <t xml:space="preserve">
Paid for 10 months per year, currently at PHP300 per month</t>
        </r>
      </text>
    </comment>
    <comment ref="I58" authorId="0">
      <text>
        <r>
          <rPr>
            <b/>
            <sz val="9"/>
            <rFont val="Segoe UI"/>
            <family val="2"/>
          </rPr>
          <t>Katharina Bollig:</t>
        </r>
        <r>
          <rPr>
            <sz val="9"/>
            <rFont val="Segoe UI"/>
            <family val="2"/>
          </rPr>
          <t xml:space="preserve">
Paid for 10 months per year, currently at PHP500 per month</t>
        </r>
      </text>
    </comment>
    <comment ref="I68" authorId="0">
      <text>
        <r>
          <rPr>
            <b/>
            <sz val="9"/>
            <rFont val="Segoe UI"/>
            <family val="2"/>
          </rPr>
          <t>Katharina Bollig:</t>
        </r>
        <r>
          <rPr>
            <sz val="9"/>
            <rFont val="Segoe UI"/>
            <family val="2"/>
          </rPr>
          <t xml:space="preserve">
Adjusted to cumulative inflation 2018-2022</t>
        </r>
      </text>
    </comment>
    <comment ref="N68" authorId="0">
      <text>
        <r>
          <rPr>
            <b/>
            <sz val="9"/>
            <rFont val="Segoe UI"/>
            <family val="2"/>
          </rPr>
          <t>Katharina Bollig:</t>
        </r>
        <r>
          <rPr>
            <sz val="9"/>
            <rFont val="Segoe UI"/>
            <family val="2"/>
          </rPr>
          <t xml:space="preserve">
Adjustment to cumulative inflation</t>
        </r>
      </text>
    </comment>
    <comment ref="B7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7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80" authorId="0">
      <text>
        <r>
          <rPr>
            <b/>
            <sz val="9"/>
            <rFont val="Segoe UI"/>
            <family val="2"/>
          </rPr>
          <t>Katharina Bollig:</t>
        </r>
        <r>
          <rPr>
            <sz val="9"/>
            <rFont val="Segoe UI"/>
            <family val="2"/>
          </rPr>
          <t xml:space="preserve">
Adjusted to cumulative inflation 2018-2022</t>
        </r>
      </text>
    </comment>
    <comment ref="B87"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89" authorId="0">
      <text>
        <r>
          <rPr>
            <b/>
            <sz val="9"/>
            <rFont val="Segoe UI"/>
            <family val="2"/>
          </rPr>
          <t>Katharina Bollig:</t>
        </r>
        <r>
          <rPr>
            <sz val="9"/>
            <rFont val="Segoe UI"/>
            <family val="2"/>
          </rPr>
          <t xml:space="preserve">
Adjusted to cumulative inflation 2018-2022</t>
        </r>
      </text>
    </comment>
    <comment ref="A104" authorId="0">
      <text>
        <r>
          <rPr>
            <b/>
            <sz val="9"/>
            <rFont val="Segoe UI"/>
            <family val="2"/>
          </rPr>
          <t>Katharina Bollig:</t>
        </r>
        <r>
          <rPr>
            <sz val="9"/>
            <rFont val="Segoe UI"/>
            <family val="2"/>
          </rPr>
          <t xml:space="preserve">
Paid for 12 months per year, currently at PHP500 per month</t>
        </r>
      </text>
    </comment>
    <comment ref="C104" authorId="0">
      <text>
        <r>
          <rPr>
            <b/>
            <sz val="9"/>
            <rFont val="Segoe UI"/>
            <family val="2"/>
          </rPr>
          <t>Katharina Bollig:</t>
        </r>
        <r>
          <rPr>
            <sz val="9"/>
            <rFont val="Segoe UI"/>
            <family val="2"/>
          </rPr>
          <t xml:space="preserve">
Paid for 10 months per year, currently at PHP300 per month</t>
        </r>
      </text>
    </comment>
    <comment ref="I104" authorId="0">
      <text>
        <r>
          <rPr>
            <b/>
            <sz val="9"/>
            <rFont val="Segoe UI"/>
            <family val="2"/>
          </rPr>
          <t>Katharina Bollig:</t>
        </r>
        <r>
          <rPr>
            <sz val="9"/>
            <rFont val="Segoe UI"/>
            <family val="2"/>
          </rPr>
          <t xml:space="preserve">
Paid for 10 months per year, currently at PHP500 per month</t>
        </r>
      </text>
    </comment>
    <comment ref="B114" authorId="0">
      <text>
        <r>
          <rPr>
            <b/>
            <sz val="9"/>
            <rFont val="Segoe UI"/>
            <family val="2"/>
          </rPr>
          <t>Katharina Bollig:</t>
        </r>
        <r>
          <rPr>
            <sz val="9"/>
            <rFont val="Segoe UI"/>
            <family val="2"/>
          </rPr>
          <t xml:space="preserve">
Paid for 12 months</t>
        </r>
      </text>
    </comment>
    <comment ref="B12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2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26" authorId="0">
      <text>
        <r>
          <rPr>
            <b/>
            <sz val="9"/>
            <rFont val="Segoe UI"/>
            <family val="2"/>
          </rPr>
          <t>Katharina Bollig:</t>
        </r>
        <r>
          <rPr>
            <sz val="9"/>
            <rFont val="Segoe UI"/>
            <family val="2"/>
          </rPr>
          <t xml:space="preserve">
Paid for 10 months</t>
        </r>
      </text>
    </comment>
    <comment ref="B13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142"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4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5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A171" authorId="0">
      <text>
        <r>
          <rPr>
            <b/>
            <sz val="9"/>
            <rFont val="Segoe UI"/>
            <family val="2"/>
          </rPr>
          <t>Katharina Bollig:</t>
        </r>
        <r>
          <rPr>
            <sz val="9"/>
            <rFont val="Segoe UI"/>
            <family val="2"/>
          </rPr>
          <t xml:space="preserve">
Paid for 12 months per year, currently at PHP500 per month</t>
        </r>
      </text>
    </comment>
    <comment ref="C171" authorId="0">
      <text>
        <r>
          <rPr>
            <b/>
            <sz val="9"/>
            <rFont val="Segoe UI"/>
            <family val="2"/>
          </rPr>
          <t>Katharina Bollig:</t>
        </r>
        <r>
          <rPr>
            <sz val="9"/>
            <rFont val="Segoe UI"/>
            <family val="2"/>
          </rPr>
          <t xml:space="preserve">
Paid for 10 months per year, currently at PHP300 per month</t>
        </r>
      </text>
    </comment>
    <comment ref="I171" authorId="0">
      <text>
        <r>
          <rPr>
            <b/>
            <sz val="9"/>
            <rFont val="Segoe UI"/>
            <family val="2"/>
          </rPr>
          <t>Katharina Bollig:</t>
        </r>
        <r>
          <rPr>
            <sz val="9"/>
            <rFont val="Segoe UI"/>
            <family val="2"/>
          </rPr>
          <t xml:space="preserve">
Paid for 10 months per year, currently at PHP500 per month</t>
        </r>
      </text>
    </comment>
    <comment ref="I181" authorId="0">
      <text>
        <r>
          <rPr>
            <b/>
            <sz val="9"/>
            <rFont val="Segoe UI"/>
            <family val="2"/>
          </rPr>
          <t>Katharina Bollig:</t>
        </r>
        <r>
          <rPr>
            <sz val="9"/>
            <rFont val="Segoe UI"/>
            <family val="2"/>
          </rPr>
          <t xml:space="preserve">
Adjusted to cumulative inflation 2018-2022</t>
        </r>
      </text>
    </comment>
    <comment ref="N181" authorId="0">
      <text>
        <r>
          <rPr>
            <b/>
            <sz val="9"/>
            <rFont val="Segoe UI"/>
            <family val="2"/>
          </rPr>
          <t>Katharina Bollig:</t>
        </r>
        <r>
          <rPr>
            <sz val="9"/>
            <rFont val="Segoe UI"/>
            <family val="2"/>
          </rPr>
          <t xml:space="preserve">
Adjusted to cumulative inflation 2023-2027</t>
        </r>
      </text>
    </comment>
    <comment ref="B188"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9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193" authorId="0">
      <text>
        <r>
          <rPr>
            <b/>
            <sz val="9"/>
            <rFont val="Segoe UI"/>
            <family val="2"/>
          </rPr>
          <t>Katharina Bollig:</t>
        </r>
        <r>
          <rPr>
            <sz val="9"/>
            <rFont val="Segoe UI"/>
            <family val="2"/>
          </rPr>
          <t xml:space="preserve">
Adjusted to cumulative inflation 2018-2022</t>
        </r>
      </text>
    </comment>
    <comment ref="B200"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02" authorId="0">
      <text>
        <r>
          <rPr>
            <b/>
            <sz val="9"/>
            <rFont val="Segoe UI"/>
            <family val="2"/>
          </rPr>
          <t>Katharina Bollig:</t>
        </r>
        <r>
          <rPr>
            <sz val="9"/>
            <rFont val="Segoe UI"/>
            <family val="2"/>
          </rPr>
          <t xml:space="preserve">
Adjusted to cumulative inflation 2018-2022</t>
        </r>
      </text>
    </comment>
    <comment ref="B20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2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214" authorId="0">
      <text>
        <r>
          <rPr>
            <b/>
            <sz val="9"/>
            <rFont val="Segoe UI"/>
            <family val="2"/>
          </rPr>
          <t>Katharina Bollig:</t>
        </r>
        <r>
          <rPr>
            <sz val="9"/>
            <rFont val="Segoe UI"/>
            <family val="2"/>
          </rPr>
          <t xml:space="preserve">
Adjusted to cumulative inflation 2018-2022</t>
        </r>
      </text>
    </comment>
    <comment ref="N214" authorId="0">
      <text>
        <r>
          <rPr>
            <b/>
            <sz val="9"/>
            <rFont val="Segoe UI"/>
            <family val="2"/>
          </rPr>
          <t>Katharina Bollig:</t>
        </r>
        <r>
          <rPr>
            <sz val="9"/>
            <rFont val="Segoe UI"/>
            <family val="2"/>
          </rPr>
          <t xml:space="preserve">
Adjustment to inflation</t>
        </r>
      </text>
    </comment>
    <comment ref="B22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23" authorId="0">
      <text>
        <r>
          <rPr>
            <b/>
            <sz val="9"/>
            <rFont val="Segoe UI"/>
            <family val="2"/>
          </rPr>
          <t>Katharina Bollig:</t>
        </r>
        <r>
          <rPr>
            <sz val="9"/>
            <rFont val="Segoe UI"/>
            <family val="2"/>
          </rPr>
          <t xml:space="preserve">
Adjusted to cumulative inflation 2018-2022</t>
        </r>
      </text>
    </comment>
    <comment ref="B24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The single-age breakdown of 0-4 year-olds in Indonesia is used, as no breakdown is available for the Philippines. Additionally it is assumed, that the share of 0-6 and 7-12 month-olds is eqaul, as no data is available on the specific distribution.   </t>
        </r>
      </text>
    </comment>
    <comment ref="I245" authorId="0">
      <text>
        <r>
          <rPr>
            <b/>
            <sz val="9"/>
            <rFont val="Segoe UI"/>
            <family val="2"/>
          </rPr>
          <t>Katharina Bollig:</t>
        </r>
        <r>
          <rPr>
            <sz val="9"/>
            <rFont val="Segoe UI"/>
            <family val="2"/>
          </rPr>
          <t xml:space="preserve">
Adjusted to cumulative inflation 2018-2022</t>
        </r>
      </text>
    </comment>
    <comment ref="B263"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Current SBFP will continue to cover severely wasted and wasted children, for 120 days, with meals cost of PHP15. Thus, 80 additional school days per year are costed.</t>
        </r>
      </text>
    </comment>
    <comment ref="B269"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200 school days per year</t>
        </r>
      </text>
    </comment>
    <comment ref="B27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Admin cost of 10% as existing infrastructure will have to be extended significantly.</t>
        </r>
      </text>
    </comment>
  </commentList>
</comments>
</file>

<file path=xl/comments9.xml><?xml version="1.0" encoding="utf-8"?>
<comments xmlns="http://schemas.openxmlformats.org/spreadsheetml/2006/main">
  <authors>
    <author>Loveleen</author>
    <author>Katharina Bollig</author>
  </authors>
  <commentList>
    <comment ref="B16" authorId="0">
      <text>
        <r>
          <rPr>
            <b/>
            <sz val="9"/>
            <rFont val="Tahoma"/>
            <family val="2"/>
          </rPr>
          <t>Loveleen:</t>
        </r>
        <r>
          <rPr>
            <sz val="9"/>
            <rFont val="Tahoma"/>
            <family val="2"/>
          </rPr>
          <t xml:space="preserve">
Assumption: 10% evasion of contribution payment</t>
        </r>
      </text>
    </comment>
    <comment ref="B25" authorId="0">
      <text>
        <r>
          <rPr>
            <b/>
            <sz val="9"/>
            <rFont val="Tahoma"/>
            <family val="2"/>
          </rPr>
          <t>Katharina Bollig:</t>
        </r>
        <r>
          <rPr>
            <sz val="9"/>
            <rFont val="Tahoma"/>
            <family val="2"/>
          </rPr>
          <t xml:space="preserve">
Assumption: An unemployed person does not find a job before the end of the maximum benefit duration.</t>
        </r>
      </text>
    </comment>
    <comment ref="B28" authorId="0">
      <text>
        <r>
          <rPr>
            <b/>
            <sz val="9"/>
            <rFont val="Tahoma"/>
            <family val="2"/>
          </rPr>
          <t>Loveleen:</t>
        </r>
        <r>
          <rPr>
            <sz val="9"/>
            <rFont val="Tahoma"/>
            <family val="2"/>
          </rPr>
          <t xml:space="preserve">
Assumption: 10%</t>
        </r>
      </text>
    </comment>
    <comment ref="B41" authorId="0">
      <text>
        <r>
          <rPr>
            <b/>
            <sz val="9"/>
            <rFont val="Tahoma"/>
            <family val="2"/>
          </rPr>
          <t>Loveleen:</t>
        </r>
        <r>
          <rPr>
            <sz val="9"/>
            <rFont val="Tahoma"/>
            <family val="2"/>
          </rPr>
          <t xml:space="preserve">
Assumption: 10% evasion of contribution payment</t>
        </r>
      </text>
    </comment>
    <comment ref="B50" authorId="0">
      <text>
        <r>
          <rPr>
            <b/>
            <sz val="9"/>
            <rFont val="Tahoma"/>
            <family val="2"/>
          </rPr>
          <t>Katharina Bollig:</t>
        </r>
        <r>
          <rPr>
            <sz val="9"/>
            <rFont val="Tahoma"/>
            <family val="2"/>
          </rPr>
          <t xml:space="preserve">
Assumption: An unemployed person does not find a job before the end of the maximum benefit duration.</t>
        </r>
      </text>
    </comment>
    <comment ref="B53" authorId="0">
      <text>
        <r>
          <rPr>
            <b/>
            <sz val="9"/>
            <rFont val="Tahoma"/>
            <family val="2"/>
          </rPr>
          <t>Loveleen:</t>
        </r>
        <r>
          <rPr>
            <sz val="9"/>
            <rFont val="Tahoma"/>
            <family val="2"/>
          </rPr>
          <t xml:space="preserve">
Assumption: 10%</t>
        </r>
      </text>
    </comment>
    <comment ref="B66" authorId="0">
      <text>
        <r>
          <rPr>
            <b/>
            <sz val="9"/>
            <rFont val="Tahoma"/>
            <family val="2"/>
          </rPr>
          <t>Loveleen:</t>
        </r>
        <r>
          <rPr>
            <sz val="9"/>
            <rFont val="Tahoma"/>
            <family val="2"/>
          </rPr>
          <t xml:space="preserve">
Assumption: 10% evasion of contribution payment</t>
        </r>
      </text>
    </comment>
    <comment ref="B75" authorId="0">
      <text>
        <r>
          <rPr>
            <b/>
            <sz val="9"/>
            <rFont val="Tahoma"/>
            <family val="2"/>
          </rPr>
          <t>Katharina Bollig:</t>
        </r>
        <r>
          <rPr>
            <sz val="9"/>
            <rFont val="Tahoma"/>
            <family val="2"/>
          </rPr>
          <t xml:space="preserve">
Assumption: An unemployed person does not find a job before the end of the maximum benefit duration.</t>
        </r>
      </text>
    </comment>
    <comment ref="B78" authorId="0">
      <text>
        <r>
          <rPr>
            <b/>
            <sz val="9"/>
            <rFont val="Tahoma"/>
            <family val="2"/>
          </rPr>
          <t>Loveleen:</t>
        </r>
        <r>
          <rPr>
            <sz val="9"/>
            <rFont val="Tahoma"/>
            <family val="2"/>
          </rPr>
          <t xml:space="preserve">
Assumption: 10%</t>
        </r>
      </text>
    </comment>
    <comment ref="B122" authorId="0">
      <text>
        <r>
          <rPr>
            <b/>
            <sz val="9"/>
            <rFont val="Tahoma"/>
            <family val="2"/>
          </rPr>
          <t>Loveleen:</t>
        </r>
        <r>
          <rPr>
            <sz val="9"/>
            <rFont val="Tahoma"/>
            <family val="2"/>
          </rPr>
          <t xml:space="preserve">
Assumptions: 
1. Allowance is provided only for training days
2. Average duration of TESDA courses = 1 months per year</t>
        </r>
      </text>
    </comment>
    <comment ref="I122" authorId="1">
      <text>
        <r>
          <rPr>
            <b/>
            <sz val="9"/>
            <rFont val="Segoe UI"/>
            <family val="2"/>
          </rPr>
          <t>Katharina Bollig:</t>
        </r>
        <r>
          <rPr>
            <sz val="9"/>
            <rFont val="Segoe UI"/>
            <family val="2"/>
          </rPr>
          <t xml:space="preserve">
Adjustment to cumulative inflation </t>
        </r>
      </text>
    </comment>
    <comment ref="N122" authorId="1">
      <text>
        <r>
          <rPr>
            <b/>
            <sz val="9"/>
            <rFont val="Segoe UI"/>
            <family val="2"/>
          </rPr>
          <t>Katharina Bollig:</t>
        </r>
        <r>
          <rPr>
            <sz val="9"/>
            <rFont val="Segoe UI"/>
            <family val="2"/>
          </rPr>
          <t xml:space="preserve">
Adjustment to cumulative inflation </t>
        </r>
      </text>
    </comment>
    <comment ref="B124" authorId="0">
      <text>
        <r>
          <rPr>
            <b/>
            <sz val="9"/>
            <rFont val="Tahoma"/>
            <family val="2"/>
          </rPr>
          <t>Loveleen:</t>
        </r>
        <r>
          <rPr>
            <sz val="9"/>
            <rFont val="Tahoma"/>
            <family val="2"/>
          </rPr>
          <t xml:space="preserve">
Assumption: 5%, since enrolees can be paid when they attend the course.</t>
        </r>
      </text>
    </comment>
    <comment ref="B133"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It is assumed that only 50% of all low-skilled unemployed and underemployed will actually avail of the programme, as guaranteed employment is just being introduced as an integrated programme of existing employment schemes.</t>
        </r>
      </text>
    </comment>
    <comment ref="B14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 </t>
        </r>
      </text>
    </comment>
    <comment ref="B16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18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25% administrative cost, due to high initial cost of material, equipment and manpower. Other public works programmes tend to have similarly high admin cost.</t>
        </r>
      </text>
    </comment>
    <comment ref="B20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2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4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List>
</comments>
</file>

<file path=xl/sharedStrings.xml><?xml version="1.0" encoding="utf-8"?>
<sst xmlns="http://schemas.openxmlformats.org/spreadsheetml/2006/main" count="1435" uniqueCount="642">
  <si>
    <t>Age</t>
  </si>
  <si>
    <t>0-4</t>
  </si>
  <si>
    <t>5-9</t>
  </si>
  <si>
    <t>10-14</t>
  </si>
  <si>
    <t>15-19</t>
  </si>
  <si>
    <t>20-24</t>
  </si>
  <si>
    <t>25-29</t>
  </si>
  <si>
    <t>30-34</t>
  </si>
  <si>
    <t>35-39</t>
  </si>
  <si>
    <t>40-44</t>
  </si>
  <si>
    <t>45-49</t>
  </si>
  <si>
    <t>50-54</t>
  </si>
  <si>
    <t>55-59</t>
  </si>
  <si>
    <t>60-64</t>
  </si>
  <si>
    <t>Total</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</si>
  <si>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</si>
  <si>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</si>
  <si>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</si>
  <si>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</si>
  <si>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</si>
  <si>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</si>
  <si>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</si>
  <si>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</si>
  <si>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</si>
  <si>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</si>
  <si>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</si>
  <si>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</si>
  <si>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</si>
  <si>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</si>
  <si>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</si>
  <si>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</si>
  <si>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</si>
  <si>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</si>
  <si>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</si>
  <si>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</si>
  <si>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</si>
  <si>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-GDP structure by sector (in percent)</t>
  </si>
  <si>
    <t>The 9 basic worksheets are:</t>
  </si>
  <si>
    <t>C. METHODOLOGY:</t>
  </si>
  <si>
    <t>D. MAIN FEATURES:</t>
  </si>
  <si>
    <t>E. MODEL STRUCTURE:</t>
  </si>
  <si>
    <t>F. DATA REQUIREMENTS AND SOURCES:</t>
  </si>
  <si>
    <t>G. INSTRUCTIONS:</t>
  </si>
  <si>
    <t>H. DEFINITIONS AND FORMULAS:</t>
  </si>
  <si>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</si>
  <si>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</si>
  <si>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</si>
  <si>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</si>
  <si>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</si>
  <si>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</si>
  <si>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</si>
  <si>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</si>
  <si>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</si>
  <si>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</si>
  <si>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</si>
  <si>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</si>
  <si>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</si>
  <si>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</si>
  <si>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</si>
  <si>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</si>
  <si>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</si>
  <si>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</si>
  <si>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</si>
  <si>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-Activity rates by age (single age or 5-year age groups) and sex</t>
  </si>
  <si>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</si>
  <si>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t>GDP deflator (index)</t>
  </si>
  <si>
    <t>1.1</t>
  </si>
  <si>
    <t>Social Protection Sector</t>
  </si>
  <si>
    <t xml:space="preserve">-Employed population </t>
  </si>
  <si>
    <t>Cost as % of GDP</t>
  </si>
  <si>
    <t>Target group (000s)</t>
  </si>
  <si>
    <t>Cost as % of Govt. expenditure</t>
  </si>
  <si>
    <t>Low scenario</t>
  </si>
  <si>
    <t>High scenario</t>
  </si>
  <si>
    <t>Take-up rate (%)</t>
  </si>
  <si>
    <t>65+</t>
  </si>
  <si>
    <t>Parameters</t>
  </si>
  <si>
    <t>Comments</t>
  </si>
  <si>
    <t>Balance after high scenario (as % of GDP)</t>
  </si>
  <si>
    <t>Balance after low scenario (as % of GDP)</t>
  </si>
  <si>
    <t>Balance at status quo (as % of GDP)</t>
  </si>
  <si>
    <t>Philippines</t>
  </si>
  <si>
    <t>Core Group</t>
  </si>
  <si>
    <t>GDP at current prices (PHP billion)</t>
  </si>
  <si>
    <t>Cost of Scenario 1 (PHP million)</t>
  </si>
  <si>
    <t>Total cost of providing benefits (PHP million)</t>
  </si>
  <si>
    <t>Admin cost (PHP million)</t>
  </si>
  <si>
    <t>Cost of Scenario 2 (PHP million)</t>
  </si>
  <si>
    <t>Cost of Scenario 3 (PHP million)</t>
  </si>
  <si>
    <t>Employed persons (in 000s)</t>
  </si>
  <si>
    <t>Unemployment rate (%)</t>
  </si>
  <si>
    <t>Change in labour productivity (%)</t>
  </si>
  <si>
    <t>Labour productivity (PHP/person/year)</t>
  </si>
  <si>
    <t>GDP growth (%)</t>
  </si>
  <si>
    <t>Change in GDP deflator (%)</t>
  </si>
  <si>
    <t>MALE ECONOMICALLY ACTIVE POPULATION (in 000s)</t>
  </si>
  <si>
    <t>FEMALE ECONOMICALLY ACTIVE POPULATION (in 000s)</t>
  </si>
  <si>
    <t>TOTAL ECONOMICALLY ACTIVE POPULATION (in 000s)</t>
  </si>
  <si>
    <t>MALE POPULATION (5-year age groups, in 000s)</t>
  </si>
  <si>
    <t>FEMALE POPULATION (5-year age groups, in 000s)</t>
  </si>
  <si>
    <t>TOTAL POPULATION (5-year age groups, in 000s)</t>
  </si>
  <si>
    <t>55-64</t>
  </si>
  <si>
    <t>Unemployed persons (in 000s)</t>
  </si>
  <si>
    <t>GDP at constant 2000 prices (PHP billion)</t>
  </si>
  <si>
    <t>GNI at current prices (PHP billion)</t>
  </si>
  <si>
    <t>65-69</t>
  </si>
  <si>
    <t>70-74</t>
  </si>
  <si>
    <t>75-79</t>
  </si>
  <si>
    <t>80+</t>
  </si>
  <si>
    <t>Inflation</t>
  </si>
  <si>
    <t>National poverty threshold (PHP/year)</t>
  </si>
  <si>
    <t xml:space="preserve">  Male</t>
  </si>
  <si>
    <t xml:space="preserve">  Female</t>
  </si>
  <si>
    <t>No. of households (in 000s)</t>
  </si>
  <si>
    <t>Average household size</t>
  </si>
  <si>
    <t>Average household income (PHP)</t>
  </si>
  <si>
    <t>Average household expenditure (PHP)</t>
  </si>
  <si>
    <t>Total household expenditure (PHP billion)</t>
  </si>
  <si>
    <t>Total household income (PHP billion)</t>
  </si>
  <si>
    <t>Underemployment rate (%)</t>
  </si>
  <si>
    <t>Core group</t>
  </si>
  <si>
    <t>Social insurance</t>
  </si>
  <si>
    <t>Social welfare</t>
  </si>
  <si>
    <t>Social safety nets</t>
  </si>
  <si>
    <t>Labour market interventions</t>
  </si>
  <si>
    <t>GENERAL GOVERNMENT OPERATIONS (STATUS QUO)</t>
  </si>
  <si>
    <t>SUMMARY OF COSTS</t>
  </si>
  <si>
    <t>OTHER SOCIAL DATA</t>
  </si>
  <si>
    <t>PWDs (in 000s)</t>
  </si>
  <si>
    <t>Change in unemployment rate</t>
  </si>
  <si>
    <t>Recommendations and Scenarios</t>
  </si>
  <si>
    <t>SPOFS provisions</t>
  </si>
  <si>
    <t>SPF guarantees</t>
  </si>
  <si>
    <t>Scheme</t>
  </si>
  <si>
    <t>Costable recommendations</t>
  </si>
  <si>
    <t>Scenarios</t>
  </si>
  <si>
    <t>Health care</t>
  </si>
  <si>
    <t>Income security for children</t>
  </si>
  <si>
    <t>Income security for working age people</t>
  </si>
  <si>
    <t>SSS</t>
  </si>
  <si>
    <t>Income security for the elderly</t>
  </si>
  <si>
    <t>Cross-cutting for all</t>
  </si>
  <si>
    <t>4Ps</t>
  </si>
  <si>
    <t>SFP</t>
  </si>
  <si>
    <t>Social Pension for Indigent Senior Citizens</t>
  </si>
  <si>
    <t>TESDA programmes</t>
  </si>
  <si>
    <r>
      <t xml:space="preserve">The Rapid Assessment Protocol consist of a single Excel workbook of 9 </t>
    </r>
    <r>
      <rPr>
        <u val="single"/>
        <sz val="10"/>
        <color indexed="8"/>
        <rFont val="Lao UI"/>
        <family val="2"/>
      </rPr>
      <t>basic</t>
    </r>
    <r>
      <rPr>
        <sz val="10"/>
        <color theme="1"/>
        <rFont val="Lao UI"/>
        <family val="2"/>
      </rPr>
      <t xml:space="preserve"> worksheets, eight of which provide instructions and set the demographic, labour market, macroeconomic and government's financial framework. The other worksheet provides a cost estimate of a single benefit case. However, </t>
    </r>
    <r>
      <rPr>
        <u val="single"/>
        <sz val="10"/>
        <color indexed="8"/>
        <rFont val="Lao UI"/>
        <family val="2"/>
      </rPr>
      <t>the user can add as many worksheets as extra benefits are included in the costing exercise</t>
    </r>
    <r>
      <rPr>
        <sz val="10"/>
        <color theme="1"/>
        <rFont val="Lao UI"/>
        <family val="2"/>
      </rPr>
      <t>.</t>
    </r>
  </si>
  <si>
    <r>
      <rPr>
        <b/>
        <sz val="10"/>
        <color indexed="8"/>
        <rFont val="Lao UI"/>
        <family val="2"/>
      </rPr>
      <t>(i) README</t>
    </r>
    <r>
      <rPr>
        <sz val="10"/>
        <color theme="1"/>
        <rFont val="Lao UI"/>
        <family val="2"/>
      </rPr>
      <t>. This worksheet provides important information about the scope, methodology, structure and data requirements of the Rapid Assessment Tool. It also provides basic information on the model version, the latest modification date and the user.</t>
    </r>
  </si>
  <si>
    <r>
      <rPr>
        <b/>
        <sz val="10"/>
        <color indexed="8"/>
        <rFont val="Lao UI"/>
        <family val="2"/>
      </rPr>
      <t>(ii) POP</t>
    </r>
    <r>
      <rPr>
        <sz val="10"/>
        <color theme="1"/>
        <rFont val="Lao UI"/>
        <family val="2"/>
      </rPr>
      <t>. The Population (POP) worksheet has 6 tables, 3 for 5-year age groups and 3 for single age groups (male, female and total).</t>
    </r>
  </si>
  <si>
    <r>
      <rPr>
        <b/>
        <sz val="10"/>
        <color indexed="8"/>
        <rFont val="Lao UI"/>
        <family val="2"/>
      </rPr>
      <t>(iii) AR</t>
    </r>
    <r>
      <rPr>
        <sz val="10"/>
        <color theme="1"/>
        <rFont val="Lao UI"/>
        <family val="2"/>
      </rPr>
      <t>. The Activity Rates (AR) worksheet has 3 tables, organised by 5-year age groups and sex (male, female and total).</t>
    </r>
  </si>
  <si>
    <r>
      <rPr>
        <b/>
        <sz val="10"/>
        <color indexed="8"/>
        <rFont val="Lao UI"/>
        <family val="2"/>
      </rPr>
      <t>(iv) EAP</t>
    </r>
    <r>
      <rPr>
        <sz val="10"/>
        <color theme="1"/>
        <rFont val="Lao UI"/>
        <family val="2"/>
      </rPr>
      <t>. This worksheet shows the results of the Economically Active Population EAP and uses as input the data from the Population (POP) and ActivityRates (AR) worksheets.</t>
    </r>
  </si>
  <si>
    <r>
      <rPr>
        <b/>
        <sz val="10"/>
        <color indexed="8"/>
        <rFont val="Lao UI"/>
        <family val="2"/>
      </rPr>
      <t>(v) ECO</t>
    </r>
    <r>
      <rPr>
        <sz val="10"/>
        <color theme="1"/>
        <rFont val="Lao UI"/>
        <family val="2"/>
      </rPr>
      <t>. The macroeconomic framework (ECO) is set based on historical data collected and forecasts made by the user.</t>
    </r>
  </si>
  <si>
    <r>
      <rPr>
        <b/>
        <sz val="10"/>
        <color indexed="8"/>
        <rFont val="Lao UI"/>
        <family val="2"/>
      </rPr>
      <t>(vi) GGO(SQ)</t>
    </r>
    <r>
      <rPr>
        <sz val="10"/>
        <color theme="1"/>
        <rFont val="Lao UI"/>
        <family val="2"/>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</si>
  <si>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t>(vii) BEN(1).</t>
    </r>
    <r>
      <rPr>
        <sz val="10"/>
        <color theme="1"/>
        <rFont val="Lao UI"/>
        <family val="2"/>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</si>
  <si>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0"/>
        <color theme="1"/>
        <rFont val="Lao UI"/>
        <family val="2"/>
      </rPr>
      <t>Compared to the GGO(SQ), this worksheet contains additional lines in the expenditure component which correspond to each one of the benefits included in the floor. This worksheet reflects the general government's expenditure level in a benefits scenario.</t>
    </r>
  </si>
  <si>
    <r>
      <t>(ix) SUM.</t>
    </r>
    <r>
      <rPr>
        <sz val="10"/>
        <color theme="1"/>
        <rFont val="Lao UI"/>
        <family val="2"/>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</si>
  <si>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0"/>
        <color indexed="8"/>
        <rFont val="Lao UI"/>
        <family val="2"/>
      </rPr>
      <t>(i) Economically Active Population.</t>
    </r>
    <r>
      <rPr>
        <sz val="10"/>
        <color theme="1"/>
        <rFont val="Lao UI"/>
        <family val="2"/>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0"/>
        <color indexed="12"/>
        <rFont val="Lao UI"/>
        <family val="2"/>
      </rPr>
      <t>[1]</t>
    </r>
    <r>
      <rPr>
        <sz val="10"/>
        <color theme="1"/>
        <rFont val="Lao UI"/>
        <family val="2"/>
      </rPr>
      <t xml:space="preserve">. In the RAP, the Economically Active Population </t>
    </r>
    <r>
      <rPr>
        <i/>
        <sz val="10"/>
        <color indexed="8"/>
        <rFont val="Lao UI"/>
        <family val="2"/>
      </rPr>
      <t>(EAP)</t>
    </r>
    <r>
      <rPr>
        <sz val="10"/>
        <color theme="1"/>
        <rFont val="Lao UI"/>
        <family val="2"/>
      </rPr>
      <t xml:space="preserve"> is equal to the product between the population (</t>
    </r>
    <r>
      <rPr>
        <i/>
        <sz val="10"/>
        <color indexed="8"/>
        <rFont val="Lao UI"/>
        <family val="2"/>
      </rPr>
      <t>POP</t>
    </r>
    <r>
      <rPr>
        <sz val="10"/>
        <color theme="1"/>
        <rFont val="Lao UI"/>
        <family val="2"/>
      </rPr>
      <t>) and the activity rates (</t>
    </r>
    <r>
      <rPr>
        <i/>
        <sz val="10"/>
        <color indexed="8"/>
        <rFont val="Lao UI"/>
        <family val="2"/>
      </rPr>
      <t>AR</t>
    </r>
    <r>
      <rPr>
        <sz val="10"/>
        <color theme="1"/>
        <rFont val="Lao UI"/>
        <family val="2"/>
      </rPr>
      <t>) for each sex-age group.</t>
    </r>
  </si>
  <si>
    <r>
      <t xml:space="preserve">In formula (1) </t>
    </r>
    <r>
      <rPr>
        <i/>
        <sz val="10"/>
        <color indexed="8"/>
        <rFont val="Lao UI"/>
        <family val="2"/>
      </rPr>
      <t>s</t>
    </r>
    <r>
      <rPr>
        <sz val="10"/>
        <color theme="1"/>
        <rFont val="Lao UI"/>
        <family val="2"/>
      </rPr>
      <t xml:space="preserve"> refers to the sex (male, female), </t>
    </r>
    <r>
      <rPr>
        <i/>
        <sz val="10"/>
        <color indexed="8"/>
        <rFont val="Lao UI"/>
        <family val="2"/>
      </rPr>
      <t>x</t>
    </r>
    <r>
      <rPr>
        <sz val="10"/>
        <color theme="1"/>
        <rFont val="Lao UI"/>
        <family val="2"/>
      </rPr>
      <t xml:space="preserve"> to the age (single age or age group) and </t>
    </r>
    <r>
      <rPr>
        <i/>
        <sz val="10"/>
        <color indexed="8"/>
        <rFont val="Lao UI"/>
        <family val="2"/>
      </rPr>
      <t>t</t>
    </r>
    <r>
      <rPr>
        <sz val="10"/>
        <color theme="1"/>
        <rFont val="Lao UI"/>
        <family val="2"/>
      </rPr>
      <t xml:space="preserve"> to the year.</t>
    </r>
  </si>
  <si>
    <r>
      <rPr>
        <b/>
        <sz val="10"/>
        <color indexed="8"/>
        <rFont val="Lao UI"/>
        <family val="2"/>
      </rPr>
      <t>(ii) Gross domestic product at constant prices (by sector composition</t>
    </r>
    <r>
      <rPr>
        <sz val="10"/>
        <color theme="1"/>
        <rFont val="Lao UI"/>
        <family val="2"/>
      </rPr>
      <t xml:space="preserve">). The GDP at constant prices is an output volume indicator expressed in terms of a reference period. </t>
    </r>
  </si>
  <si>
    <r>
      <t xml:space="preserve">In formula (2),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t>
    </r>
    <r>
      <rPr>
        <sz val="10"/>
        <color theme="1"/>
        <rFont val="Lao UI"/>
        <family val="2"/>
      </rPr>
      <t xml:space="preserve"> is the sector-specific real GDP growth rate in a particular year.</t>
    </r>
  </si>
  <si>
    <r>
      <rPr>
        <b/>
        <sz val="10"/>
        <color indexed="8"/>
        <rFont val="Lao UI"/>
        <family val="2"/>
      </rPr>
      <t>(iii) Gross domestic product at current prices (by sector composition).</t>
    </r>
    <r>
      <rPr>
        <sz val="10"/>
        <color theme="1"/>
        <rFont val="Lao UI"/>
        <family val="2"/>
      </rPr>
      <t xml:space="preserve"> The GDP at current prices reflects the total amount of goods and services produced in the country within a year at prices of current reporting period.</t>
    </r>
  </si>
  <si>
    <r>
      <t xml:space="preserve">In formula (3),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GDP Def</t>
    </r>
    <r>
      <rPr>
        <sz val="10"/>
        <color theme="1"/>
        <rFont val="Lao UI"/>
        <family val="2"/>
      </rPr>
      <t xml:space="preserve"> to the GDP deflator in a particular year.</t>
    </r>
  </si>
  <si>
    <r>
      <rPr>
        <b/>
        <sz val="10"/>
        <color indexed="8"/>
        <rFont val="Lao UI"/>
        <family val="2"/>
      </rPr>
      <t>(iv) GDP deflator.</t>
    </r>
    <r>
      <rPr>
        <sz val="10"/>
        <color theme="1"/>
        <rFont val="Lao UI"/>
        <family val="2"/>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</si>
  <si>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r>
      <t xml:space="preserve">In formula (4), </t>
    </r>
    <r>
      <rPr>
        <i/>
        <sz val="10"/>
        <color indexed="8"/>
        <rFont val="Lao UI"/>
        <family val="2"/>
      </rPr>
      <t xml:space="preserve">t </t>
    </r>
    <r>
      <rPr>
        <sz val="10"/>
        <color theme="1"/>
        <rFont val="Lao UI"/>
        <family val="2"/>
      </rPr>
      <t xml:space="preserve">refers to the base year and </t>
    </r>
    <r>
      <rPr>
        <i/>
        <sz val="10"/>
        <color indexed="8"/>
        <rFont val="Lao UI"/>
        <family val="2"/>
      </rPr>
      <t xml:space="preserve"> h</t>
    </r>
    <r>
      <rPr>
        <sz val="10"/>
        <color theme="1"/>
        <rFont val="Lao UI"/>
        <family val="2"/>
      </rPr>
      <t xml:space="preserve"> to the GDP deflator growth rate.</t>
    </r>
  </si>
  <si>
    <r>
      <rPr>
        <b/>
        <sz val="10"/>
        <color indexed="8"/>
        <rFont val="Lao UI"/>
        <family val="2"/>
      </rPr>
      <t>(v) Labour productivity.</t>
    </r>
    <r>
      <rPr>
        <sz val="10"/>
        <color theme="1"/>
        <rFont val="Lao UI"/>
        <family val="2"/>
      </rPr>
      <t xml:space="preserve"> The labour productivity measures the efficiency of production at the level of the individual, the enterprise or the specific economic sector. It is usually measured in terms of output per worker or per hour worked </t>
    </r>
    <r>
      <rPr>
        <sz val="10"/>
        <color indexed="12"/>
        <rFont val="Lao UI"/>
        <family val="2"/>
      </rPr>
      <t>[2]</t>
    </r>
    <r>
      <rPr>
        <sz val="10"/>
        <color theme="1"/>
        <rFont val="Lao UI"/>
        <family val="2"/>
      </rPr>
      <t xml:space="preserve">. In the RAP, the user must provide the labour productivity growth rates (either assumed or projected) so the future labour productivity can be estimated. However, the labour productivity at time </t>
    </r>
    <r>
      <rPr>
        <i/>
        <sz val="10"/>
        <color indexed="8"/>
        <rFont val="Lao UI"/>
        <family val="2"/>
      </rPr>
      <t>t,</t>
    </r>
    <r>
      <rPr>
        <sz val="10"/>
        <color theme="1"/>
        <rFont val="Lao UI"/>
        <family val="2"/>
      </rPr>
      <t xml:space="preserve"> as well as in precedent years, is calculated as the ratio of the GDP at constant prices (by sector) to the number of employed workers in the same period.</t>
    </r>
  </si>
  <si>
    <r>
      <t xml:space="preserve">In formula (5),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j</t>
    </r>
    <r>
      <rPr>
        <sz val="10"/>
        <color theme="1"/>
        <rFont val="Lao UI"/>
        <family val="2"/>
      </rPr>
      <t xml:space="preserve"> to a selected year, </t>
    </r>
    <r>
      <rPr>
        <i/>
        <sz val="10"/>
        <color indexed="8"/>
        <rFont val="Lao UI"/>
        <family val="2"/>
      </rPr>
      <t>t</t>
    </r>
    <r>
      <rPr>
        <sz val="10"/>
        <color theme="1"/>
        <rFont val="Lao UI"/>
        <family val="2"/>
      </rPr>
      <t xml:space="preserve"> to the base year, </t>
    </r>
    <r>
      <rPr>
        <i/>
        <sz val="10"/>
        <color indexed="8"/>
        <rFont val="Lao UI"/>
        <family val="2"/>
      </rPr>
      <t>E</t>
    </r>
    <r>
      <rPr>
        <sz val="10"/>
        <color theme="1"/>
        <rFont val="Lao UI"/>
        <family val="2"/>
      </rPr>
      <t xml:space="preserve"> to the number of employed workers and </t>
    </r>
    <r>
      <rPr>
        <i/>
        <sz val="10"/>
        <color indexed="8"/>
        <rFont val="Lao UI"/>
        <family val="2"/>
      </rPr>
      <t>l</t>
    </r>
    <r>
      <rPr>
        <sz val="10"/>
        <color theme="1"/>
        <rFont val="Lao UI"/>
        <family val="2"/>
      </rPr>
      <t xml:space="preserve"> to the labour productivity growth rate.</t>
    </r>
  </si>
  <si>
    <r>
      <t>[2]</t>
    </r>
    <r>
      <rPr>
        <sz val="10"/>
        <rFont val="Lao UI"/>
        <family val="2"/>
      </rPr>
      <t xml:space="preserve"> ILO Thesaurus (search for "labour productivity")</t>
    </r>
  </si>
  <si>
    <t>Scenario 1: Provide a 30% national government subsidy for PhilHealth premiums for the informal sector</t>
  </si>
  <si>
    <t>Scenario 2: Provide a 50% national government subsidy for PhilHealth premiums for the informal sector</t>
  </si>
  <si>
    <t>Informal sector (in 000s)</t>
  </si>
  <si>
    <t>Informal sector (% of total employed)</t>
  </si>
  <si>
    <t>Total PhilHealth premiums (PHP million)</t>
  </si>
  <si>
    <t>Cost of Scenario 4 (PHP million)</t>
  </si>
  <si>
    <t>SSS premium per person (PHP)</t>
  </si>
  <si>
    <t>Total government subsidy (PHP million)</t>
  </si>
  <si>
    <t>Allowance per head (PHP)</t>
  </si>
  <si>
    <t>Cost of food vouchers per head (PHP)</t>
  </si>
  <si>
    <t>Total cost of vouchers (PHP million)</t>
  </si>
  <si>
    <t>Elderly population i.e. 60+ (000s)</t>
  </si>
  <si>
    <t>Poor elderly population (000s)</t>
  </si>
  <si>
    <t>Total cost of providing meals (PHP million)</t>
  </si>
  <si>
    <t>Total cost of providing pensions (PHP million)</t>
  </si>
  <si>
    <t>Total State expenditures (PHP billion)</t>
  </si>
  <si>
    <t>Total SSS+GSIS revenues (PHP billion)</t>
  </si>
  <si>
    <t>Total financing (PHP billion)</t>
  </si>
  <si>
    <t>Total SSS revenues</t>
  </si>
  <si>
    <t>Total GSIS revenues</t>
  </si>
  <si>
    <t>POPULATION &amp; DEMOGRAPHIC DATA</t>
  </si>
  <si>
    <t xml:space="preserve"> </t>
  </si>
  <si>
    <t>Public school enrolment (in 000s)</t>
  </si>
  <si>
    <t>TVET graduates (in 000s)</t>
  </si>
  <si>
    <t>TVET graduates (000s)</t>
  </si>
  <si>
    <t>Source: Impact Evaluation Study of TVET Programs; TESDA</t>
  </si>
  <si>
    <t>TVET graduates covered by IES (in 000s)</t>
  </si>
  <si>
    <t>TVET graduates (as % of 15+ population)</t>
  </si>
  <si>
    <t>Low-income TVET graduates (000s)</t>
  </si>
  <si>
    <t>15-24</t>
  </si>
  <si>
    <t>25-54</t>
  </si>
  <si>
    <t>Budget surplus/deficit (PHP billion)</t>
  </si>
  <si>
    <t>Tax revenue</t>
  </si>
  <si>
    <t>Current expenditure</t>
  </si>
  <si>
    <t>Capital expenditure</t>
  </si>
  <si>
    <t>Repayment / net lending</t>
  </si>
  <si>
    <t>Allotment to LGUs</t>
  </si>
  <si>
    <t xml:space="preserve">Tax expenditures </t>
  </si>
  <si>
    <t xml:space="preserve">Subsidies </t>
  </si>
  <si>
    <t>Others</t>
  </si>
  <si>
    <t>Interest payments</t>
  </si>
  <si>
    <t>Equity</t>
  </si>
  <si>
    <t>Domestic financing (net)</t>
  </si>
  <si>
    <t>Less: Amortization</t>
  </si>
  <si>
    <t>Foreign financing (net)</t>
  </si>
  <si>
    <t>Domestic financing (gross)</t>
  </si>
  <si>
    <t>Foreign financing (gross)</t>
  </si>
  <si>
    <t>GOVERNMENT OPERATIONS</t>
  </si>
  <si>
    <t xml:space="preserve">FINANCING </t>
  </si>
  <si>
    <t>SOCIAL INSURANCE REVENUES</t>
  </si>
  <si>
    <t>Contributions - SSS</t>
  </si>
  <si>
    <t>Contributions - GSIS</t>
  </si>
  <si>
    <t>Contributions - Total</t>
  </si>
  <si>
    <t>Government subsidy - SSS</t>
  </si>
  <si>
    <t>Government subsidy - GSIS</t>
  </si>
  <si>
    <t>Government subsidy - Total</t>
  </si>
  <si>
    <t>Investment income - Total</t>
  </si>
  <si>
    <t>Others - Total</t>
  </si>
  <si>
    <t>Others - SSS</t>
  </si>
  <si>
    <t>Others - GSIS</t>
  </si>
  <si>
    <t>GENERAL GOVERNMENT OPERATIONS (AFTER IMPLEMENTING BENEFITS)</t>
  </si>
  <si>
    <t>Source: Philippine National Accounts, NSCB, NSO, LFS.</t>
  </si>
  <si>
    <t>Source: FIES.</t>
  </si>
  <si>
    <t>55+</t>
  </si>
  <si>
    <t>MACROECONOMIC DATA</t>
  </si>
  <si>
    <t>SSS contributors (000s)</t>
  </si>
  <si>
    <t>Effective assessment base (PHP million)</t>
  </si>
  <si>
    <t>Total assessment base (PHP million)</t>
  </si>
  <si>
    <t>Evasion</t>
  </si>
  <si>
    <t>Benefit duration (months)</t>
  </si>
  <si>
    <t>Admin and additional training cost (PHP million)</t>
  </si>
  <si>
    <t>Aggregate contribution rate</t>
  </si>
  <si>
    <t>Total EI benefits (PHP million)</t>
  </si>
  <si>
    <t>Benefit level / replacement rate</t>
  </si>
  <si>
    <t>Source: GSIS &amp; SSS, in NSCB's Philippine Statistical Yearbook 2013 for 2007-12.</t>
  </si>
  <si>
    <t>Source: NSCB in NSCB's Philippine Statistical Yearbook 2013 for 2005-12. Philippine National Accounts for 2013.</t>
  </si>
  <si>
    <t>BENEFICIARIES</t>
  </si>
  <si>
    <t>Average daily basic pay of wage and salaried workers (PHP)</t>
  </si>
  <si>
    <t>Average daily pay increase (%)</t>
  </si>
  <si>
    <t>Cost of Scenario 3b (PHP million)</t>
  </si>
  <si>
    <t>Cost of Scenario 3a (PHP million)</t>
  </si>
  <si>
    <t>AGRICULTURE WORKERS (in 000s)</t>
  </si>
  <si>
    <t>Number of agriculture workers (in 000s)</t>
  </si>
  <si>
    <t>Share among employed persons (%)</t>
  </si>
  <si>
    <t>SSS registered members (in 000s)</t>
  </si>
  <si>
    <t>GSIS registered members (in 000s)</t>
  </si>
  <si>
    <t>Employers</t>
  </si>
  <si>
    <t>Agriculture workers (% of employed persons)</t>
  </si>
  <si>
    <t>Average monthly basic pay (PHP)</t>
  </si>
  <si>
    <t>EI benefits per person (PHP)</t>
  </si>
  <si>
    <t>Total cost of EI scheme (PHP million)</t>
  </si>
  <si>
    <t>Low</t>
  </si>
  <si>
    <t>High</t>
  </si>
  <si>
    <t>Male</t>
  </si>
  <si>
    <t>Female</t>
  </si>
  <si>
    <t>Formal sector (in 000s)</t>
  </si>
  <si>
    <t>GSIS registered members (as % of formal sector workers)</t>
  </si>
  <si>
    <t>Formal sector (% of total employed)</t>
  </si>
  <si>
    <t>Tax revenue (as % of GDP)</t>
  </si>
  <si>
    <t>Non-tax State revenue (as % of GDP)</t>
  </si>
  <si>
    <t>Allotment to LGUs (as % of GDP)</t>
  </si>
  <si>
    <t>Tax expenditures (as % of GDP)</t>
  </si>
  <si>
    <t>Subsidies (as % of GDP)</t>
  </si>
  <si>
    <t>Others (as % of GDP)</t>
  </si>
  <si>
    <t>Interest payments (as % of GDP)</t>
  </si>
  <si>
    <t>Equity (as % of GDP)</t>
  </si>
  <si>
    <t>Repayment / net lending (as % of GDP)</t>
  </si>
  <si>
    <t>State expenditures</t>
  </si>
  <si>
    <t>Current expenditure (as % of GDP)</t>
  </si>
  <si>
    <t>Capital expenditure (as % of GDP)</t>
  </si>
  <si>
    <t>Total financing (as % of GDP)</t>
  </si>
  <si>
    <r>
      <t xml:space="preserve">Source: GSIS &amp; SSS, in NSCB's Philippine Statistical Yearbook 2013 for 2007-12. </t>
    </r>
    <r>
      <rPr>
        <b/>
        <sz val="10"/>
        <color rgb="FFFF0000"/>
        <rFont val="Lao UI"/>
        <family val="2"/>
      </rPr>
      <t>Social insurance revenues can be projected in proportion to wage increases and insured persons, if required.</t>
    </r>
  </si>
  <si>
    <t>HEALTH CARE</t>
  </si>
  <si>
    <t>ELDERLY</t>
  </si>
  <si>
    <t>CHILDREN</t>
  </si>
  <si>
    <t>WORKING AGE</t>
  </si>
  <si>
    <t>State revenues and grants (PHP billion)</t>
  </si>
  <si>
    <t>State expenditures (PHP billion)</t>
  </si>
  <si>
    <t>Elementary (6-11 years)</t>
  </si>
  <si>
    <t>Secondary (12-15 years)</t>
  </si>
  <si>
    <t>Kindergarten (3-5 years)</t>
  </si>
  <si>
    <t>PhilHealth</t>
  </si>
  <si>
    <t>Cost of Scenario 5 (PHP million)</t>
  </si>
  <si>
    <t>Cost of Scenario 6 (PHP million)</t>
  </si>
  <si>
    <t>Source: SSS, Annual Reports &amp; NSCB</t>
  </si>
  <si>
    <t>Minimum daily wage - highest (PHP) (non-agri)</t>
  </si>
  <si>
    <t>Minimum daily wage - lowest (PHP) (non-agri)</t>
  </si>
  <si>
    <t xml:space="preserve">Population Growth Rate </t>
  </si>
  <si>
    <t>Total State Revenues (PHP billion)</t>
  </si>
  <si>
    <t>Non-tax revenue</t>
  </si>
  <si>
    <t>Source: LFS 2008-14. Own computations for 2015-22.</t>
  </si>
  <si>
    <t>Source: Philippine National Accounts, NSCB, NSO, LFS, accessed from BLES for 2005-14.</t>
  </si>
  <si>
    <t>Source: National Wages and Productivity Commission 2014-15. Own computations for 2016-22, based on average daily basic pay growth rate.</t>
  </si>
  <si>
    <t>Source: NSCB, accessed from BLES website. Own computations for 2013-22, increase coupled to inflation.</t>
  </si>
  <si>
    <t xml:space="preserve">State revenues </t>
  </si>
  <si>
    <t>Grants</t>
  </si>
  <si>
    <t>Grants revenue (as % of GDP)</t>
  </si>
  <si>
    <t>Assuming that the rate remains at 2015 level</t>
  </si>
  <si>
    <r>
      <t xml:space="preserve">Source: Bureau of Treasury, in NSCB's Philippine Statistical Yearbook 2013 for 2007-12. </t>
    </r>
    <r>
      <rPr>
        <b/>
        <sz val="10"/>
        <color rgb="FFFF0000"/>
        <rFont val="Lao UI"/>
        <family val="2"/>
      </rPr>
      <t xml:space="preserve">Projections for 2015-22 can be made in proportion to GDP, with the proportion decreasing or increasing, depending on the country.
</t>
    </r>
    <r>
      <rPr>
        <b/>
        <sz val="10"/>
        <color theme="7"/>
        <rFont val="Lao UI"/>
        <family val="2"/>
      </rPr>
      <t>Why use gross and not net financing?</t>
    </r>
  </si>
  <si>
    <r>
      <t xml:space="preserve">Source: GSIS/SSS Annual Reports 2008-13. </t>
    </r>
    <r>
      <rPr>
        <b/>
        <sz val="10"/>
        <color rgb="FFFF0000"/>
        <rFont val="Lao UI"/>
        <family val="2"/>
      </rPr>
      <t>Investment income can be projected on the basis of the investment base and assumed return on investment, if required.</t>
    </r>
  </si>
  <si>
    <t>Investment - SSS</t>
  </si>
  <si>
    <t>Investment - GSIS</t>
  </si>
  <si>
    <t>(included in investment)</t>
  </si>
  <si>
    <t xml:space="preserve">No provisions for costing </t>
  </si>
  <si>
    <t>Consumer Price Index (2006 = 100)</t>
  </si>
  <si>
    <t>Minimum daily wage - lowest (PHP) (agri)</t>
  </si>
  <si>
    <t>Minimum daily wage - highest (PHP) (agri)</t>
  </si>
  <si>
    <t>Public school students K to grade 6 (000s)</t>
  </si>
  <si>
    <t>Age of 4Ps beneficiaries has been requested from DSWD</t>
  </si>
  <si>
    <t>4Ps beneficiary households (in 000s)</t>
  </si>
  <si>
    <t>Growth rate</t>
  </si>
  <si>
    <t>4Ps beneficiary households (000s)</t>
  </si>
  <si>
    <t>benefit duration in months</t>
  </si>
  <si>
    <t xml:space="preserve">benefit replacement rate </t>
  </si>
  <si>
    <t>Total cost of grant (health+education) (PHP million)</t>
  </si>
  <si>
    <t xml:space="preserve">a) Health grant </t>
  </si>
  <si>
    <t>b) Education grant: Elementary school child</t>
  </si>
  <si>
    <t>b) Education grant: High school child</t>
  </si>
  <si>
    <t>Scenario 3: Provide the 4Ps benefits to all qualifying children (i.e. below the age of 18 years) in beneficiary households.</t>
  </si>
  <si>
    <t>Request from DSWD: number of beneficiary children 2008-14</t>
  </si>
  <si>
    <t>In 2014, various provinces were missing in the sample due to Typhoon Haihan, so that 2014 is not comparable to previous years of the survey. Ask PSA what to do.</t>
  </si>
  <si>
    <t>CROSS-CUTTING</t>
  </si>
  <si>
    <t>Cross-Cutting</t>
  </si>
  <si>
    <t>Beneficiary children (in 000s)</t>
  </si>
  <si>
    <t>15-18</t>
  </si>
  <si>
    <t>Elderly population i.e. 80+ (000s)</t>
  </si>
  <si>
    <t>Elderly population i.e. 60-79 (000s)</t>
  </si>
  <si>
    <t>Poor elderly population 60-79 years old (000s)</t>
  </si>
  <si>
    <t>4Ps Beneficiary children (as share of total)</t>
  </si>
  <si>
    <t xml:space="preserve">  0-4</t>
  </si>
  <si>
    <t xml:space="preserve">  5-9</t>
  </si>
  <si>
    <t xml:space="preserve">  10-14</t>
  </si>
  <si>
    <t xml:space="preserve">  15-18</t>
  </si>
  <si>
    <t>number of days per year</t>
  </si>
  <si>
    <t>Benefit per head (PHP)</t>
  </si>
  <si>
    <t xml:space="preserve">Admin cost (PHP million) </t>
  </si>
  <si>
    <t>a) Lowest minimum wage</t>
  </si>
  <si>
    <t>b) Highest minimum wage</t>
  </si>
  <si>
    <t>Total benefits (PHP million)</t>
  </si>
  <si>
    <t xml:space="preserve">Social Insurances </t>
  </si>
  <si>
    <t>SSS benefit per head (PHP)</t>
  </si>
  <si>
    <t>PhilHealth benefit per head (PHP)</t>
  </si>
  <si>
    <t>Total cost benefits + social insurances (PHP million)</t>
  </si>
  <si>
    <t>Total social insurance (PHP million)</t>
  </si>
  <si>
    <t xml:space="preserve">Cost of PHP15 per day </t>
  </si>
  <si>
    <t>Scenario 1: Introduce an employment insurance scheme wherein the national government subsidizes 30% of the contributions</t>
  </si>
  <si>
    <t>Scenario 2: Introduce an employment insurance scheme wherein the national government subsidizes 50% of the contributions</t>
  </si>
  <si>
    <t>Elderly population i.e. 70+ (000s)</t>
  </si>
  <si>
    <t>Elderly population i.e. 60-69 (000s)</t>
  </si>
  <si>
    <t>Poor elderly population 60-69 years old (000s)</t>
  </si>
  <si>
    <t>Scenario 1: Increase the benefit amounts provided under 4Ps (20% increase)</t>
  </si>
  <si>
    <t>Disability allowance per PWD (PHP)</t>
  </si>
  <si>
    <t>Total cost of providing disability allowance (PHP million)</t>
  </si>
  <si>
    <t>People who are not members of SSS and GSIS (000s)</t>
  </si>
  <si>
    <t>Share of PWDs (%)</t>
  </si>
  <si>
    <t>PWDs who are not members of SSS and GSIS</t>
  </si>
  <si>
    <t>Programmes for PWDs</t>
  </si>
  <si>
    <t>Scenario 1a: Increase the benefit amount of the health grant to PHP 600 (20% increase).
Scenario 2a: Increase the benefit amount of the health grant to PHP 600 (20% increase), indexed on cumulative inflation every 5 years.</t>
  </si>
  <si>
    <t>Scenario 1b: Increase the benefit amount of the education grant to PHP 360 for elementary school children, and PHP 600 for highschool children.
Scenario 2b: Increase the benefit amount of the education grant to PHP  360 for elementary school children, and PHP 600 for highschool children, indexed on cumulative inflation every 5 years.</t>
  </si>
  <si>
    <t>Self-employed</t>
  </si>
  <si>
    <t>Unpaid family workers</t>
  </si>
  <si>
    <t>National poverty incidence (%)</t>
  </si>
  <si>
    <t>Employment Insurance Scheme</t>
  </si>
  <si>
    <t>Laid-off SSS contributors (000s)</t>
  </si>
  <si>
    <t>Subsidize the SSS premiums for the informal sector workers by the national government</t>
  </si>
  <si>
    <t>Supplementary Feeding Program (SPF)</t>
  </si>
  <si>
    <t>Elderly population i.e. 60+ (000s), not receiving contributory pension</t>
  </si>
  <si>
    <t>0-14 (% of total)</t>
  </si>
  <si>
    <t>15-49 (% of total)</t>
  </si>
  <si>
    <t>50-64 (% of total)</t>
  </si>
  <si>
    <t>65 and over (% of total)</t>
  </si>
  <si>
    <t>Source: Census 2010. Own computations for 2011-22, assuming share remains constant. (According to the Census in 2000, 1.2% of the total population, or 942,098 PWDs were in the country.)</t>
  </si>
  <si>
    <t>Children in 4Ps households receiving the benefit (as of Oct 2015)</t>
  </si>
  <si>
    <t>Children in 4Ps households not receiving the benefit (as of Oct 2015)</t>
  </si>
  <si>
    <t>Problem: HH number might contain number of Modified CTT, too</t>
  </si>
  <si>
    <t>lin</t>
  </si>
  <si>
    <t>Pre-school (3-5 years)</t>
  </si>
  <si>
    <t>year 2012 considered as outlier and removed from projections</t>
  </si>
  <si>
    <t>Scenario 3: Provide a 100% national government subsidy for PhilHealth premiums for the informal sector</t>
  </si>
  <si>
    <t>Low-skilled unemployed and underemployed (000s)</t>
  </si>
  <si>
    <t>Low-skilled unemployed &amp; underemployed workers</t>
  </si>
  <si>
    <t>as % of informal sector</t>
  </si>
  <si>
    <t>Total cost per head (PHP)</t>
  </si>
  <si>
    <t>Subsidy per person (PHP)</t>
  </si>
  <si>
    <t>Children</t>
  </si>
  <si>
    <t>Working age</t>
  </si>
  <si>
    <t>Elderly</t>
  </si>
  <si>
    <t>PWDs</t>
  </si>
  <si>
    <t>Balance at status quo (PHP billion)</t>
  </si>
  <si>
    <t>Balance at low scenario (PHP billion)</t>
  </si>
  <si>
    <t>Balance at high scenario (PHP billion)</t>
  </si>
  <si>
    <t>Cost of Scenario 8a (PHP million)</t>
  </si>
  <si>
    <t>Cost of Scenario 8b (PHP million)</t>
  </si>
  <si>
    <t>Cost as % of govt. expenditure</t>
  </si>
  <si>
    <t>as % of GDP</t>
  </si>
  <si>
    <t xml:space="preserve">Balance at status quo </t>
  </si>
  <si>
    <t xml:space="preserve">Balance after low scenario </t>
  </si>
  <si>
    <t xml:space="preserve">Balance after high scenario </t>
  </si>
  <si>
    <t>projections 2015-22 based on linear trendline</t>
  </si>
  <si>
    <t>Source: NSCB in NSCB's Philippine Statistical Yearbook 2013 for 2005-12. Philippine National Accounts for 2013. IMF WEO for 2014-20. Values for 2021-22 kept constant based on previous year. IMF WEO uses NSCB data until 2013.</t>
  </si>
  <si>
    <t>Self-employed (excl. 0, 1, 2, 3) (% IS)</t>
  </si>
  <si>
    <t>Budget surplus/deficit after financing (PHP billion)</t>
  </si>
  <si>
    <t>Near-poor and vulnerable self-employed workers (000s)</t>
  </si>
  <si>
    <t xml:space="preserve">Only the 20% increase is costed, as an add-on to what the programmes is costing currently. </t>
  </si>
  <si>
    <t>Total cost of increase in grants (health+education) (PHP million)</t>
  </si>
  <si>
    <t>4Ps beneficiary children 6-24 months old (000s)</t>
  </si>
  <si>
    <t xml:space="preserve">Expand existing employment schemes </t>
  </si>
  <si>
    <t>Scenario 7: Expand existing schemes to guarantee employment, paid at the minimum wage plus social insurance (SSS &amp; PhilHealth)</t>
  </si>
  <si>
    <t>Scenario 8: Expand existing schemes to guarantee employment, paid at the minimum wage plus social insurance (SSS &amp; PhilHealth)</t>
  </si>
  <si>
    <t>This entails a PHP250 increase from the current pension at PHP500, and assumes that all poor will be covered.</t>
  </si>
  <si>
    <t>This entails a PHP250 increase from the current pension at PHP500, plus an increase based on inflation, and assumes that all poor will be covered.</t>
  </si>
  <si>
    <t>Social Pension</t>
  </si>
  <si>
    <t>Disability Allowance</t>
  </si>
  <si>
    <t>Cost of Scenario 9a (PHP million)</t>
  </si>
  <si>
    <t>Cost of Scenario 9b (PHP million)</t>
  </si>
  <si>
    <t>* employment scheme with lowest days but highest min wage included</t>
  </si>
  <si>
    <t>* second lowest for 4Ps</t>
  </si>
  <si>
    <r>
      <t>Scenario 6: Provide PHP</t>
    </r>
    <r>
      <rPr>
        <b/>
        <sz val="10"/>
        <color rgb="FF7030A0"/>
        <rFont val="Lao UI"/>
        <family val="2"/>
      </rPr>
      <t xml:space="preserve"> 750</t>
    </r>
    <r>
      <rPr>
        <b/>
        <sz val="10"/>
        <rFont val="Lao UI"/>
        <family val="2"/>
      </rPr>
      <t>, indexed on cumulative inflation every 5 years, an</t>
    </r>
    <r>
      <rPr>
        <b/>
        <sz val="10"/>
        <color theme="1"/>
        <rFont val="Lao UI"/>
        <family val="2"/>
      </rPr>
      <t>d extend coverage to all senior citizens aged 60 years and above for universal coverage</t>
    </r>
  </si>
  <si>
    <t>Social pension per head (PHP)</t>
  </si>
  <si>
    <t>Scenario 6: Provide a meal to all children in public schools (K to grade 6) under SFP, for the whole school year (200 days)</t>
  </si>
  <si>
    <t>Source: Study of the ADB for 2006. 2007-2022, earnings increased at the mean of average daily basic pay rise (4.8%).</t>
  </si>
  <si>
    <t xml:space="preserve">
Source: LFS, near-poor and vulnerable defined according to occupational groups; then the poverty incidence of self-employed is applied, to remove poor workers that are covered by different schemes. </t>
  </si>
  <si>
    <t>Source: Bureau of Treasury. 2014. Statistical Data (available at: http://www.treasury.gov.ph/?page_id=746) for 2005-2014. Projected in proportion to GDP for 2015-22, as projections are not available from national sources.</t>
  </si>
  <si>
    <t>Total cost of existing schoold-based feeding (PHP million)</t>
  </si>
  <si>
    <t xml:space="preserve">Workers </t>
  </si>
  <si>
    <t xml:space="preserve">Rate is assumed to remain constant. </t>
  </si>
  <si>
    <t>lin decrease, removing 2012 from calculations, as an outlier</t>
  </si>
  <si>
    <t xml:space="preserve">Own computations for 2015-22, assuming that tax revenue will increase up to 15% in 2022, linear growth from 2015-22. </t>
  </si>
  <si>
    <t>Tax revenue (% of GDP)</t>
  </si>
  <si>
    <t>Average number of children per 4Ps household</t>
  </si>
  <si>
    <t>Assumed to deline linear. Even though the R2 is low, there is reason to believe that low-skilled unemployed and underemployed decrease, as an economy develops further.</t>
  </si>
  <si>
    <t xml:space="preserve">Source: LFS 2005-2013. Own computations 2014-2022, based on the assumption that the share decreases linearly. Although the R2 of the projections is low (calculations), one can assume that it declines, as an economy develops further. </t>
  </si>
  <si>
    <t>Self-employed (excl. 0, 1, 2, 3) (% employed)</t>
  </si>
  <si>
    <t xml:space="preserve">Source: DepEd Orders on website for 2013-16. Own computations for 2017-22, based on the assumption that severely wasted (SW) and wasted (W) children will be covered. </t>
  </si>
  <si>
    <t>Source: FIES for 2006, 09, 12. Census of Population and Housing for 2010. Own computations for 2013-22, assuming rate will decrease at a linear rate from 2012 to 2022, reaching an average size of 4.</t>
  </si>
  <si>
    <t>as % of age group 0-19</t>
  </si>
  <si>
    <t xml:space="preserve">Source: DepEd Factsheet on Basic Education Statistics 2008-12. DepEd Database on Public School Enrolment 2013-14 &amp; 2014-15, available at http://deped.gov.ph/datasets?page=1.Own computations for 2015-22, based on the historic trend as a share of children aged 0-19, not considering implementation of K-12, as the focus of costing lies on K to Grade 6 only, which is not affected by the extension to 12 years of schooling. </t>
  </si>
  <si>
    <t>Source: DSWD provided coverage numbers.</t>
  </si>
  <si>
    <t>Source: PSA. Journal of Philippine Statistics. 2010. Statistics on Filipino Children.
DSWD in NSCB 2013 for 2011-2013.
Own computations for 2014-2022, based on the historic trend of beneficiary age distribution.</t>
  </si>
  <si>
    <t>Average earnings self-employed (PHP)</t>
  </si>
  <si>
    <t>Growth of public school enrolment (%)</t>
  </si>
  <si>
    <t>Source: Indonesian RAP model.</t>
  </si>
  <si>
    <t>Source: Indonesian RAP model for 2005-2020. Own computations for 2021-22.</t>
  </si>
  <si>
    <r>
      <t xml:space="preserve">Children aged 0-4 in </t>
    </r>
    <r>
      <rPr>
        <b/>
        <sz val="10"/>
        <color rgb="FFFF0000"/>
        <rFont val="Lao UI"/>
        <family val="2"/>
      </rPr>
      <t>PHILIPPINES</t>
    </r>
    <r>
      <rPr>
        <b/>
        <sz val="10"/>
        <color indexed="8"/>
        <rFont val="Lao UI"/>
        <family val="2"/>
      </rPr>
      <t xml:space="preserve"> (in 000s)</t>
    </r>
  </si>
  <si>
    <t>For 2022, the projections indicate 19.8%, although 19.9% seems more realistic looking at the past values.</t>
  </si>
  <si>
    <r>
      <t xml:space="preserve">Scenario 5: Provide food or cereal vouchers to 7-24 months old children under 4Ps, amounting to PHP </t>
    </r>
    <r>
      <rPr>
        <b/>
        <sz val="10"/>
        <color rgb="FF7030A0"/>
        <rFont val="Lao UI"/>
        <family val="2"/>
      </rPr>
      <t>390</t>
    </r>
    <r>
      <rPr>
        <b/>
        <sz val="10"/>
        <color theme="1"/>
        <rFont val="Lao UI"/>
        <family val="2"/>
      </rPr>
      <t xml:space="preserve"> (PHP13*30 days), adjusted to cumulative inflation every five years</t>
    </r>
  </si>
  <si>
    <t>Source: Indonesian single-age breakdown applied to 0-4 year-old 4Ps beneficiaries, to obtain an estimate of the target group. (see calculations)</t>
  </si>
  <si>
    <t xml:space="preserve">10 (in 000s) less than in projections, due to 0.1% difference in projections (see above) </t>
  </si>
  <si>
    <t>SSS employers (as % of employed)</t>
  </si>
  <si>
    <t>Own computations 2014-22, as no reliable predictions can be made (see calculations), the rate is assumed to stabilize at 2.4%.</t>
  </si>
  <si>
    <t>lin decreases share of SSS members, while poly increases it at a very high rate until 2022.</t>
  </si>
  <si>
    <t>All poor households will be covered from 2022 onwards (wherein the number of poor households is defined according to the national poverty incidence). Linear growth from 2015 to 2022.</t>
  </si>
  <si>
    <t>Scenario 4: Provide food or cereal vouchers worth PHP 390 per month (PHP 13 per day) per child for families with 7-24 months old children to be supplied by FNRI DOST in partnership with LGUs.</t>
  </si>
  <si>
    <r>
      <t xml:space="preserve">Children aged 0-4 in </t>
    </r>
    <r>
      <rPr>
        <b/>
        <sz val="10"/>
        <color rgb="FFFF0000"/>
        <rFont val="Lao UI"/>
        <family val="2"/>
      </rPr>
      <t>INDONESIA</t>
    </r>
    <r>
      <rPr>
        <b/>
        <sz val="10"/>
        <color indexed="8"/>
        <rFont val="Lao UI"/>
        <family val="2"/>
      </rPr>
      <t xml:space="preserve"> (as % of total 0-4 population)</t>
    </r>
  </si>
  <si>
    <t>Total 0-4 (in 000s)</t>
  </si>
  <si>
    <r>
      <t xml:space="preserve">Children aged 0-4 in </t>
    </r>
    <r>
      <rPr>
        <b/>
        <sz val="10"/>
        <color rgb="FFFF0000"/>
        <rFont val="Lao UI"/>
        <family val="2"/>
      </rPr>
      <t>INDONESIA</t>
    </r>
    <r>
      <rPr>
        <b/>
        <sz val="10"/>
        <color indexed="8"/>
        <rFont val="Lao UI"/>
        <family val="2"/>
      </rPr>
      <t xml:space="preserve"> (in 000s)</t>
    </r>
  </si>
  <si>
    <t>Total 0-4 population (%)</t>
  </si>
  <si>
    <t>Total 0-4 population (in 000s)</t>
  </si>
  <si>
    <t>Low-skilled unemployed &amp; underemployed as share of labour force</t>
  </si>
  <si>
    <t>as % of labour force</t>
  </si>
  <si>
    <t>Employer-initiated separation in NCR (% of employment excluding self-employed)</t>
  </si>
  <si>
    <r>
      <t xml:space="preserve">Notes
- Do we want another scheme for job search expand existing? Check DOLE's recommendation on this benefit funded by EEP and AMP budget.
</t>
    </r>
    <r>
      <rPr>
        <sz val="10"/>
        <rFont val="Lao UI"/>
        <family val="2"/>
      </rPr>
      <t xml:space="preserve">The rate of employer-initiated separations in large enterprises in the National Capital Regions is used as a proxy to determine the lay-offs of SSS members. It is assumed that the rate is the same. Source: PSA, Labor Turnover in Establishments, accessed via Labstat, 2005-2015.  
</t>
    </r>
  </si>
  <si>
    <t xml:space="preserve">
Source: NSO, LFS, accessed from BLES for 2005-14. Own computations for 2015-22.
To derive the number of vulnerable self-employed, the occupational groups 0, 1, 2, 3 () were removed from the total number of self-employed. Source: LFS 2005-13. Own computations 2014-22 (see calculations tab).</t>
  </si>
  <si>
    <t>Source: Philippine TVET Statistics 2005-11 &amp; 2008-2014; TESDA website. Own computations for 2015-22, based on mean of previous 10 years.</t>
  </si>
  <si>
    <t>SSS workers (as % of population)</t>
  </si>
  <si>
    <t xml:space="preserve">Own computations 2014-22, it is assumed that the share of SSS members to the total population will continue to grow based on the historic trend. </t>
  </si>
  <si>
    <t>Schoold-based feeding program (SBFP) beneficiary children (in 000s)</t>
  </si>
  <si>
    <t>It is assumed that by 2022, all poor households are covered, as 4Ps is currently extending the database with the aim to cover all poor. From 2015 to 2020, linear growth of beneficiary households.</t>
  </si>
  <si>
    <t xml:space="preserve">Although the national average hh size might actually be decreasing over the years, the goal to expand the programme is assumed to counterbalance this trend. </t>
  </si>
  <si>
    <t>Source: NSO, accessed from BLES for 2005-14. IMF WEO for 2015-20 (updated Oct 2015). 2021-22, inflation kept constant at previous level. IMF WEO uses NSO data until 2014.</t>
  </si>
  <si>
    <r>
      <t xml:space="preserve">Source: LFS 2005-14.
</t>
    </r>
    <r>
      <rPr>
        <sz val="10"/>
        <color rgb="FFCC0000"/>
        <rFont val="Lao UI"/>
        <family val="2"/>
      </rPr>
      <t xml:space="preserve">Unemployment rate: </t>
    </r>
    <r>
      <rPr>
        <sz val="10"/>
        <rFont val="Lao UI"/>
        <family val="2"/>
      </rPr>
      <t xml:space="preserve">IMF WEO for 2015-20. Calculation for 2021-22 based on CAGR. IMF WEO uses NSO data until 2013. 
</t>
    </r>
    <r>
      <rPr>
        <sz val="10"/>
        <color rgb="FFC00000"/>
        <rFont val="Lao UI"/>
        <family val="2"/>
      </rPr>
      <t>Underemployment rate</t>
    </r>
    <r>
      <rPr>
        <sz val="10"/>
        <rFont val="Lao UI"/>
        <family val="2"/>
      </rPr>
      <t xml:space="preserve">: Annual Labor and Employment Estimates, NSO for 2005-2014. Own computations for 2015-22, assuming a linear decrease in the rate (see calculations sheet). </t>
    </r>
  </si>
  <si>
    <t>Informal sector as % of employed</t>
  </si>
  <si>
    <t>Source: LFS 2009-14, accessed from BLES. Own computations for 2015-22 based labour productivity and inflation.</t>
  </si>
  <si>
    <t>This entails a PHP1,250 increase from the current pension at PHP500, plus an increase based on inflation, and assumes that all poor will be covered.</t>
  </si>
  <si>
    <r>
      <t xml:space="preserve">Scenario 1: Provide a social pension of PHP </t>
    </r>
    <r>
      <rPr>
        <b/>
        <sz val="10"/>
        <color rgb="FF7030A0"/>
        <rFont val="Lao UI"/>
        <family val="2"/>
      </rPr>
      <t>750</t>
    </r>
    <r>
      <rPr>
        <b/>
        <sz val="10"/>
        <color theme="1"/>
        <rFont val="Lao UI"/>
        <family val="2"/>
      </rPr>
      <t xml:space="preserve"> per month, indexed on cumulative inflation every 5 years, to all poor elderly aged 60 years and above </t>
    </r>
  </si>
  <si>
    <r>
      <t>Scenario 4: Provide a social pension of PHP</t>
    </r>
    <r>
      <rPr>
        <b/>
        <sz val="10"/>
        <color rgb="FF7030A0"/>
        <rFont val="Lao UI"/>
        <family val="2"/>
      </rPr>
      <t xml:space="preserve"> 750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</si>
  <si>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5: Provide a social pension of PHP</t>
    </r>
    <r>
      <rPr>
        <b/>
        <sz val="10"/>
        <color rgb="FF7030A0"/>
        <rFont val="Lao UI"/>
        <family val="2"/>
      </rPr>
      <t xml:space="preserve"> 1,000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</si>
  <si>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2: Provide a social pension of PHP</t>
    </r>
    <r>
      <rPr>
        <b/>
        <sz val="10"/>
        <color rgb="FF7030A0"/>
        <rFont val="Lao UI"/>
        <family val="2"/>
      </rPr>
      <t xml:space="preserve"> 1,000</t>
    </r>
    <r>
      <rPr>
        <b/>
        <sz val="10"/>
        <color theme="1"/>
        <rFont val="Lao UI"/>
        <family val="2"/>
      </rPr>
      <t xml:space="preserve"> per month, indexed on cumulative inflation every 5 years, to all poor elderly aged 60 years and above</t>
    </r>
  </si>
  <si>
    <t>Scenario 1: Provide a 30% national government subsidy for PhilHealth premiums for vulnerable informal sector members.
Scenario 2: Provide a 50% national government subsidy for PhilHealth premiums for vulnerable informal sector members.
Scenario 3: Provide a 100% national government subsidy for PhilHealth premiums for vulnerable informal sector members.</t>
  </si>
  <si>
    <t>Subsidise social insurance premiums for the informal sector by the national government.</t>
  </si>
  <si>
    <t>Increase the benefit amount of the health and education grant provided by 20%.</t>
  </si>
  <si>
    <t>Increase the grant rates by 20% and extend the coverage to all eligible children in 4Ps households. Currently the education benefit is limited to 3 children per household.</t>
  </si>
  <si>
    <t>Provide a food voucher to 7-24 months old children under 4Ps, as this age group is highly vulnerable to malnutrition.</t>
  </si>
  <si>
    <t>Provide meal for to all children in public school, from Kindergarten to Grade 6, for 200 feeding days, instead of only 120 feeding days.</t>
  </si>
  <si>
    <t>Scenario 5: Provide a meal to all children in public schools, covering Kindergarten to Grade 6, for the entire school year, counting 200 days.</t>
  </si>
  <si>
    <t>Scenario 1: Provide an allowance of PHP 750 per month indexed on cumulative inflation every 5 years, to all PWDs who do not benefit from other disability schemes.
Scenario 2: Provide an allowance of PHP 1,500 per month, indexed on cumulative inflation every 5 years, to all PWDs who do not benefit from other disability schemes.</t>
  </si>
  <si>
    <t>Scenario 3: Provide an allowance of PHP 750 per month, indexed on cumulative inflation every 5 years, to all PWDs.
Scenario 4: Provide an allowance of PHP 1,500 per month, indexed on cumulative inflation every 5 years, to all PWDs.</t>
  </si>
  <si>
    <t xml:space="preserve">Provide a disability allowance to all PWDs, who do not receive any allowance from social insurance schemes. </t>
  </si>
  <si>
    <t>Provide a disability allowance to all PWDs</t>
  </si>
  <si>
    <t>Introduce an unemployment insurance scheme with job search assistance and draw resources to resources to support this.</t>
  </si>
  <si>
    <t xml:space="preserve">Scenario 1: Introduce an employment insurance scheme wherein the national government subsidizes 30% of the contributions, and a benefit with 50% income replacement rate is provided for 3 months. 
Scenario 2: Introduce an employment insurance scheme wherein the national government subsidizes 50% of the contributions, and a benefit with 50% income replacement rate is provided for 4 months. 
Scenario 3: Introduce an employment insurance scheme wherein the national government subsidizes 50% of the contributions, and a benefit with 60% income replacement rate is provided for 6 months. </t>
  </si>
  <si>
    <t>Partly subsidize social insurance premiums for the workers in the informal sector, by the national government.</t>
  </si>
  <si>
    <t>Scenario 4: Provide a 30% national government subsidy for SSS premiums for poor and vulnerable informal sector workers.
Scenario 5: Provide a 50% national government subsidy for SSS premiums for poor and vulnerable informal sector workers.</t>
  </si>
  <si>
    <t>Provide a daily sustenance allowance to low-income people enrolled under TESDA training courses and Training for Work Scholarships.</t>
  </si>
  <si>
    <t>Scenario 6: Provide a sustenance allowance to TESDA students, living below the poverty line, amounting to PHP 200 peso per day, indexed on cumulative inflation every 5 years.</t>
  </si>
  <si>
    <t>Scenario 7: Expand existing employment programems to guarantee 60 days of employment per year, paid at the corresponding minimum wage plus social insurance. 
Scenario 8: Expand existing employment programems to guarantee 80 days of employment per year, paid at the corresponding minimum wage plus social insurance.
Scenario 9: Expand existing employment programems to guarantee 100 days of employment per year, paid at the corresponding minimum wage plus social insurance.</t>
  </si>
  <si>
    <t xml:space="preserve">Expand existing employment programmes to guarantee employment, providing wage-employed for a defined number of days per year. The scheme should be targeted at low-skilled unemployed and underemployed.  </t>
  </si>
  <si>
    <t>Increase the benefit amount of the social pension provided to indigent elderly.</t>
  </si>
  <si>
    <t xml:space="preserve">Increase the benefit amount and extend coverage of the social pension to more elderly. </t>
  </si>
  <si>
    <t>Scenario 1: Provide a social pension of PHP 750 per month, indexed on cumulative inflation every 5 years, to all poor elderly of 60 years of age and above.
Scenario 2: Provide a social pension of PHP 1,000 per month, indexed on cumulative inflation every 5 years, to all poor elderly of 60 years of age and above.</t>
  </si>
  <si>
    <t xml:space="preserve">Scenario 3: Provide a social pension amounting to PHP 750 per month, indexed on cumulative inflation every 5 years, to poor elderly aged 60 years and above, and provide a universal pension to people above a) 80+ years or b) 70+ years of age.
Scenario 4: Provide a social pension amounting to PHP 750, indexed on cumulative inflation every 5 years, to all senior citizens aged 60 years and above, not receiving any other form of pension.
Scenario 5: Provide a social pension amounting to PHP 1,000, indexed on cumulative inflation every 5 years, to all senior citizens aged 60 years and above, not receiving any other form of pension.
Scenario 6: Provide a social pension amounting to PHP 750, indexed on cumulative inflation every 5 years, to all senior citizens aged 60 years and above for universal coverage. </t>
  </si>
  <si>
    <r>
      <t xml:space="preserve">Scenario 3: Provide a disability allowance of PHP </t>
    </r>
    <r>
      <rPr>
        <b/>
        <sz val="10"/>
        <color theme="7"/>
        <rFont val="Lao UI"/>
        <family val="2"/>
      </rPr>
      <t>750</t>
    </r>
    <r>
      <rPr>
        <b/>
        <sz val="10"/>
        <color theme="1"/>
        <rFont val="Lao UI"/>
        <family val="2"/>
      </rPr>
      <t xml:space="preserve"> per month, indexed on cumulative inflation every 5 years, to all PWDs </t>
    </r>
  </si>
  <si>
    <t>Informal sector poverty incidence (%)</t>
  </si>
  <si>
    <t xml:space="preserve">Informal sector workers poverty incidence (%) </t>
  </si>
  <si>
    <t>Self-employed PI to national PI</t>
  </si>
  <si>
    <t>Total informal sector PI to national PI</t>
  </si>
  <si>
    <t>Unpaid family workers PI to national PI</t>
  </si>
  <si>
    <t>Provide a daily allowance to poor TESDA students</t>
  </si>
  <si>
    <t>Working poverty incidence (%)</t>
  </si>
  <si>
    <t>Vulnerable self-employed workers (000s)</t>
  </si>
  <si>
    <t>Vulnerable self-employed (in 000s) (excluding ISCO 0, 1, 2, 3)</t>
  </si>
  <si>
    <t>Senior citizens poverty incidence (%)</t>
  </si>
  <si>
    <t xml:space="preserve">Source: All poverty statistics for 2006, 09, 12 from FIES, accessed via PSA. 2013-2022 own computations based on the assumption that the overall poverty incidence decreases 3 percentage points until 2022, with ratios of specific groups' poverty incidence kept constant (see calculations tab). </t>
  </si>
  <si>
    <t>Senior citizens PI to national PI</t>
  </si>
  <si>
    <t>Working PI to national PI</t>
  </si>
  <si>
    <t>Summary - Cost as % of GDP</t>
  </si>
  <si>
    <t>Scenario 3: Introduce an employment insurance scheme wherein the national government subsidizes 50% of the contributions</t>
  </si>
  <si>
    <t>Scenario 4: Provide a 30% national government subsidy for SSS premiums for the informal sector</t>
  </si>
  <si>
    <t>Scenario 5: Provide a 50% national government subsidy for SSS premiums for the informal sector</t>
  </si>
  <si>
    <t>Scenario 6: Provide a daily allowance at PHP200, indexed on cumulative inflation every 5 years, to low-income people enrolled in TESDA training courses</t>
  </si>
  <si>
    <t>Cost of Scenario 7a (PHP million)</t>
  </si>
  <si>
    <t>Cost of Scenario 7b (PHP million)</t>
  </si>
  <si>
    <t>Scenario 9: Expand existing schemes to guarantee employment, paid at the minimum wage plus social insurance (SSS &amp; PhilHealth)</t>
  </si>
  <si>
    <t>Scenario 7b: Guaranteed employment for 60 days - highest minimum wage</t>
  </si>
  <si>
    <t>Scenario 8b: Guaranteed employment for 80 days - highest minimum wage</t>
  </si>
  <si>
    <t>Scenario 9b: Guaranteed employment for 100 days - highest minimum wage</t>
  </si>
  <si>
    <t>Scenario 1: Increase the benefits provided under 4Ps by 20%</t>
  </si>
  <si>
    <t>Scenario 3: Increase the 4Ps benefits by 20% and provide the education grant to all children in 4Ps households</t>
  </si>
  <si>
    <t>Scenario 5: Provide food vouchers of PHP390, indexed on inflation, to all 7-24 months old children under 4Ps</t>
  </si>
  <si>
    <t>Scenario 4: Increase the 4Ps benefits by 20%, indexed on inflation, and provide the education grant to all children in 4Ps households</t>
  </si>
  <si>
    <t>Scenario 2: Increase the benefits provided under 4Ps by 20%, indexed on inflation</t>
  </si>
  <si>
    <t>Increase in health grant per household (PHP)</t>
  </si>
  <si>
    <t>Total cost of scheme (PHP million)</t>
  </si>
  <si>
    <t>Existing cost of social pension (PHP million)</t>
  </si>
  <si>
    <t>Cost of increasing social pension (PHP million)</t>
  </si>
  <si>
    <t xml:space="preserve">Admin cost </t>
  </si>
  <si>
    <t>Scenario 3a: Provide a social pension for 60+ year olds, and universal pension for 80+ year olds</t>
  </si>
  <si>
    <t>Scenario 3b: Provide a social pension for 60+ year olds, and universal pension for 70+ year olds</t>
  </si>
  <si>
    <t>Scenario 1: Provide a social pension of PHP750 per month, indexed inflation, to all poor elderly aged 60+</t>
  </si>
  <si>
    <t xml:space="preserve">Scenario 2: Provide a social pension of PHP1,000 per month, indexed inflation, to all poor elderly aged 60+ </t>
  </si>
  <si>
    <t>Scenario 6: Provide a social pension of PHP750 per month, indexed inflation, to all senior citizens aged 60+</t>
  </si>
  <si>
    <t>Scenario 4: Provide a social pension of PHP750 per month, indexed inflation, to all elderly aged 60+ without pension</t>
  </si>
  <si>
    <t>Scenario 5: Provide a social pension of PHP1,000 per month, indexed inflation, to all elderly aged 60+ without pension</t>
  </si>
  <si>
    <t>Scenario 1 &amp; 2</t>
  </si>
  <si>
    <t>Scenario 3a</t>
  </si>
  <si>
    <t>Scenario 3b</t>
  </si>
  <si>
    <t>Scenario 4 &amp; 5</t>
  </si>
  <si>
    <t>Scenario</t>
  </si>
  <si>
    <t>Employment Insurance</t>
  </si>
  <si>
    <t>SSS subsidy</t>
  </si>
  <si>
    <t>PhilHealth subsidy</t>
  </si>
  <si>
    <t>Guaranteed employment</t>
  </si>
  <si>
    <t>TESDA allowance</t>
  </si>
  <si>
    <t>Food voucher 7-24 month-olds</t>
  </si>
  <si>
    <t>Social pension</t>
  </si>
  <si>
    <t>Disability allowance</t>
  </si>
  <si>
    <t>Supplementary Feeding Program</t>
  </si>
  <si>
    <t xml:space="preserve">24.3% of 60+ are covered by a contributory scheme according to HelpAge International </t>
  </si>
  <si>
    <t>4Ps beneficiary children 15-18 years old (000s)</t>
  </si>
  <si>
    <t>4Ps beneficiary children 3-15 years old (000s)</t>
  </si>
  <si>
    <t>Cost of Scenario 1 (% of GDP)</t>
  </si>
  <si>
    <t>Cost of Scenario 2 (% of GDP)</t>
  </si>
  <si>
    <t>Cost of Scenario 3 (% of GDP)</t>
  </si>
  <si>
    <t>Scenario 7a: Guaranteed employment for 60 days - lowest minimum wage</t>
  </si>
  <si>
    <t>Scenario 8a: Guaranteed employment for 80 days - lowest minimum wage</t>
  </si>
  <si>
    <t xml:space="preserve">Scenario 9a: Guaranteed employment for 100 days - lowest minimum wage </t>
  </si>
  <si>
    <r>
      <t xml:space="preserve">Scenario 2: Provide a disability allowance of PHP </t>
    </r>
    <r>
      <rPr>
        <b/>
        <sz val="10"/>
        <color rgb="FF7030A0"/>
        <rFont val="Lao UI"/>
        <family val="2"/>
      </rPr>
      <t>1,000</t>
    </r>
    <r>
      <rPr>
        <b/>
        <sz val="10"/>
        <color theme="1"/>
        <rFont val="Lao UI"/>
        <family val="2"/>
      </rPr>
      <t xml:space="preserve"> per month, indexed on cumulative inflation every 5 years, to all PWDs not receiving any other allowance</t>
    </r>
  </si>
  <si>
    <r>
      <t xml:space="preserve">Scenario 4: Provide a disability allowance of PHP </t>
    </r>
    <r>
      <rPr>
        <b/>
        <sz val="10"/>
        <color rgb="FF7030A0"/>
        <rFont val="Lao UI"/>
        <family val="2"/>
      </rPr>
      <t>1,000</t>
    </r>
    <r>
      <rPr>
        <b/>
        <sz val="10"/>
        <color theme="1"/>
        <rFont val="Lao UI"/>
        <family val="2"/>
      </rPr>
      <t xml:space="preserve"> per month, indexed on cumulative inflation every 5 years, to all PWDs</t>
    </r>
  </si>
  <si>
    <r>
      <rPr>
        <b/>
        <sz val="10"/>
        <rFont val="Lao UI"/>
        <family val="2"/>
      </rPr>
      <t>4Ps beneficiary children (000s)</t>
    </r>
    <r>
      <rPr>
        <sz val="10"/>
        <rFont val="Lao UI"/>
        <family val="2"/>
      </rPr>
      <t xml:space="preserve"> (100% of all children in 4Ps hh)</t>
    </r>
  </si>
  <si>
    <r>
      <rPr>
        <b/>
        <sz val="10"/>
        <rFont val="Lao UI"/>
        <family val="2"/>
      </rPr>
      <t>4Ps beneficiary children (000s)</t>
    </r>
    <r>
      <rPr>
        <sz val="10"/>
        <rFont val="Lao UI"/>
        <family val="2"/>
      </rPr>
      <t xml:space="preserve"> - 87%</t>
    </r>
  </si>
  <si>
    <t>87% of children receiving benefit already (only 20% increase in benefit is costed)</t>
  </si>
  <si>
    <t>13% of children not receiving benefit yet (existing benefit + 20% increase in benefit is costed)</t>
  </si>
  <si>
    <r>
      <rPr>
        <b/>
        <sz val="10"/>
        <rFont val="Lao UI"/>
        <family val="2"/>
      </rPr>
      <t>4Ps beneficiary children (000s)</t>
    </r>
    <r>
      <rPr>
        <sz val="10"/>
        <rFont val="Lao UI"/>
        <family val="2"/>
      </rPr>
      <t xml:space="preserve"> - 13%</t>
    </r>
  </si>
  <si>
    <r>
      <t xml:space="preserve">b) Education grant: Elementary school child </t>
    </r>
    <r>
      <rPr>
        <sz val="10"/>
        <color theme="1"/>
        <rFont val="Lao UI"/>
        <family val="2"/>
      </rPr>
      <t>(existing benefit: PHP300)</t>
    </r>
  </si>
  <si>
    <r>
      <t xml:space="preserve">b) Education grant: High school child </t>
    </r>
    <r>
      <rPr>
        <sz val="10"/>
        <color theme="1"/>
        <rFont val="Lao UI"/>
        <family val="2"/>
      </rPr>
      <t>(existing benefit: PHP500)</t>
    </r>
  </si>
  <si>
    <t>Total cost (PHP million)</t>
  </si>
  <si>
    <t>Numbers of elementary school children and high school children do not add up to 4Ps beneficiary children, as 0-3 year-olds are included in the total, but do not receive any education transfer.</t>
  </si>
  <si>
    <t>Scenario 4: Increase the benefit amounts by 20%, adjusted to cumulative inflation every 5 years, and provide the 4Ps education benefit to all qualifying children</t>
  </si>
  <si>
    <t>Scenario 2: Increase the benefit amounts by 20% and adjust them to cumulative inflation every 5 years</t>
  </si>
  <si>
    <t>87% of children currently receiving the benefit (only 20% increase in benefit is costed)</t>
  </si>
  <si>
    <t xml:space="preserve">
</t>
  </si>
  <si>
    <t>87% of all children in 4Ps households are covered</t>
  </si>
  <si>
    <t>additional 13% of children in 4Ps households covered</t>
  </si>
  <si>
    <r>
      <t xml:space="preserve">ation data: United Nations, Department of Economic and Social Affairs, Population Division (2015). World Population Prospects: The 2015 Revision, custom data acquired via website. </t>
    </r>
    <r>
      <rPr>
        <b/>
        <sz val="10"/>
        <color rgb="FFFF0000"/>
        <rFont val="Lao UI"/>
        <family val="2"/>
      </rPr>
      <t xml:space="preserve">Contact Joy, PSA for single-age data and projections.
</t>
    </r>
  </si>
  <si>
    <r>
      <t xml:space="preserve">Source: LFS 2005-14. Total includes 'age not reported'. ILOSTAT 2015-28. ILOSTAT 2005-12 is taken from LFS. Mechanic projections used.
</t>
    </r>
    <r>
      <rPr>
        <b/>
        <sz val="10"/>
        <color rgb="FFFF0000"/>
        <rFont val="Lao UI"/>
        <family val="2"/>
      </rPr>
      <t>Alternative method: LPR*POP (problem with this - LPR is calculated on the basis of a different POP source).</t>
    </r>
  </si>
  <si>
    <t>Assumed that overall poverty incidence will drop by 3 percentage points from 2012 to 2028. To calculate the poverty incidence for specific group, the ratio is kept constant.</t>
  </si>
  <si>
    <t>SSS registered members - employers (as % of employed)</t>
  </si>
  <si>
    <t>SSS registered members - workers (as % of total pop)</t>
  </si>
  <si>
    <t>Assumed that the household size will decrease to 4 until 2025.</t>
  </si>
  <si>
    <t>Tax revenue is assumed to increase up to 16% in 2028, with a linear increase from from 2014 onwards.</t>
  </si>
  <si>
    <t>Source: PSA Labour Turnover Statistics, accessed via Labstat for 2005-2015. The survey focuses on large enterprises in the National Capital Region, but it is assumed that the share is applicable for the whole country, as no other data on lay-offs is available. Own computations 2016-2028, assuming the mean.</t>
  </si>
  <si>
    <t>Cost of Scenario 2 (% of govt. exp.)</t>
  </si>
  <si>
    <t>Cost of Scenario 1 (% of govt. exp.)</t>
  </si>
  <si>
    <t>Cost of Scenario 3 (% of govt. exp.)</t>
  </si>
  <si>
    <t>4Ps beneficiary children 0-4 years old (000s)</t>
  </si>
  <si>
    <t>80 extra days for existing SBFP beneficiaries</t>
  </si>
  <si>
    <t>200 days for non-SBFP beneficiaries</t>
  </si>
  <si>
    <t>Cost of meals per head for 80 days (PHP)</t>
  </si>
  <si>
    <t>Cost of meals per head for 200 days (PHP)</t>
  </si>
  <si>
    <t>Beneficiary numbers and cost of current, fragmented employment schemes are not included in the computation, due to lack of integrated data from the schemes.</t>
  </si>
  <si>
    <t>Summary - Coverage (000s)</t>
  </si>
  <si>
    <t>Health grant PHP</t>
  </si>
  <si>
    <t>Education grant elementary school PHP</t>
  </si>
  <si>
    <t>Education grant high school PHP</t>
  </si>
  <si>
    <t>Health grant per household (PHP)</t>
  </si>
  <si>
    <t>Total cost of increasing health grant (PHP million)</t>
  </si>
  <si>
    <t>Existing health grant per household (PHP)</t>
  </si>
  <si>
    <t>Education grant per child (PHP)</t>
  </si>
  <si>
    <t>Existing education grant per child (PHP)</t>
  </si>
  <si>
    <t>Increase in education grant per child (PHP)</t>
  </si>
  <si>
    <t>Total cost of increasing education grant (PHP million)</t>
  </si>
  <si>
    <t>provided at household level (only 20% increase in benefit is costed)</t>
  </si>
  <si>
    <t>Existing social pension per head (PHP)</t>
  </si>
  <si>
    <t>Increase in social pension per head (PHP)</t>
  </si>
  <si>
    <t>Total cost of increasing social pension (PHP million)</t>
  </si>
  <si>
    <t>Pension 60+ (poor only)</t>
  </si>
  <si>
    <t>Pension 70+ (universal)</t>
  </si>
  <si>
    <t>Pension 80+ (universal)</t>
  </si>
  <si>
    <t>Scenario 3b: Means-tested pension for 60+ year olds, universal pension for 70+ year olds</t>
  </si>
  <si>
    <t>Scenario 3a: Means-tested pension for 60+ year olds, universal pension for 80+ year olds</t>
  </si>
  <si>
    <r>
      <t xml:space="preserve">Scenario 3: Provide a means-tested social pension of PHP </t>
    </r>
    <r>
      <rPr>
        <b/>
        <sz val="10"/>
        <color rgb="FF7030A0"/>
        <rFont val="Lao UI"/>
        <family val="2"/>
      </rPr>
      <t>750</t>
    </r>
    <r>
      <rPr>
        <b/>
        <sz val="10"/>
        <color theme="1"/>
        <rFont val="Lao UI"/>
        <family val="2"/>
      </rPr>
      <t xml:space="preserve"> per month, indexed on cumulative inflation every 5 years, to all poor elderly aged 60+ years, and a universal pension to all elderly aged a) 80+ years or b) 70+ years</t>
    </r>
  </si>
  <si>
    <t>Poor elderly population i.e. 60+ (000s)</t>
  </si>
  <si>
    <t>Total cost of existing social pension (PHP million)</t>
  </si>
  <si>
    <t>Poor elderly population 60+ (000s)</t>
  </si>
  <si>
    <t>Elderly population 60+ (000s)</t>
  </si>
  <si>
    <t>Scenario 7: Provide a social pension of PHP1000 per month, indexed inflation, to all senior citizens aged 60+</t>
  </si>
  <si>
    <t>Scenario 6 &amp; 7</t>
  </si>
  <si>
    <r>
      <t xml:space="preserve">Scenario 1: Provide a disability allowance of PHP </t>
    </r>
    <r>
      <rPr>
        <b/>
        <sz val="10"/>
        <color rgb="FF7030A0"/>
        <rFont val="Lao UI"/>
        <family val="2"/>
      </rPr>
      <t>750</t>
    </r>
    <r>
      <rPr>
        <b/>
        <sz val="10"/>
        <color theme="1"/>
        <rFont val="Lao UI"/>
        <family val="2"/>
      </rPr>
      <t xml:space="preserve"> per month, indexed on cumulative inflation every 5 years, to all PWDs not receiving any other allowance</t>
    </r>
  </si>
  <si>
    <t>Stage 2: Expansion to universal social pension</t>
  </si>
  <si>
    <t>Combination of Scenario 1 &amp; 6: Implementatio in 2 stages</t>
  </si>
  <si>
    <t>Stage 1: Increasing benefit amount</t>
  </si>
  <si>
    <t>Discussion point: phase in of universal social pension according to age for instance</t>
  </si>
  <si>
    <t>Scenario 3: Increase the benefit amounts by 20% and provide the 4Ps education benefit to all qualifying children</t>
  </si>
  <si>
    <t>% of covered poor hh</t>
  </si>
  <si>
    <r>
      <t>Scenario 7: Provide PHP</t>
    </r>
    <r>
      <rPr>
        <b/>
        <sz val="10"/>
        <color rgb="FF7030A0"/>
        <rFont val="Lao UI"/>
        <family val="2"/>
      </rPr>
      <t xml:space="preserve"> 1000</t>
    </r>
    <r>
      <rPr>
        <b/>
        <sz val="10"/>
        <rFont val="Lao UI"/>
        <family val="2"/>
      </rPr>
      <t>, indexed on cumulative inflation every 5 years, an</t>
    </r>
    <r>
      <rPr>
        <b/>
        <sz val="10"/>
        <color theme="1"/>
        <rFont val="Lao UI"/>
        <family val="2"/>
      </rPr>
      <t>d extend coverage to all senior citizens aged 60 years and above for universal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</si>
</sst>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quot;-&quot;??_-;_-@_-"/>
    <numFmt numFmtId="169" formatCode="0.0"/>
    <numFmt numFmtId="170" formatCode="#,##0.0"/>
    <numFmt numFmtId="171" formatCode="[$-409]m/d/yy\ h:mm\ AM/PM;@"/>
    <numFmt numFmtId="172" formatCode="0.0%"/>
    <numFmt numFmtId="173" formatCode="_(* #,##0.0_);_(* \(#,##0.0\);_(* &quot;-&quot;??_);_(@_)"/>
    <numFmt numFmtId="174" formatCode="_(* #,##0_);_(* \(#,##0\);_(* &quot;-&quot;??_);_(@_)"/>
    <numFmt numFmtId="175" formatCode="[$-409]dd/mmm/yy;@"/>
    <numFmt numFmtId="176" formatCode="[$-409]d/mmm/yy;@"/>
    <numFmt numFmtId="177" formatCode="_(* #,##0.0_);_(* \(#,##0.0\);_(* &quot;-&quot;_);_(@_)"/>
    <numFmt numFmtId="178" formatCode="#,##0.000000000000"/>
    <numFmt numFmtId="179" formatCode="0.000"/>
    <numFmt numFmtId="180" formatCode="0.000000000000000%"/>
    <numFmt numFmtId="181" formatCode="#,##0.0000000"/>
    <numFmt numFmtId="182" formatCode="0.000%"/>
  </numFmts>
  <fonts count="123">
    <font>
      <sz val="11"/>
      <color theme="1"/>
      <name val="Calibri"/>
      <family val="2"/>
      <scheme val="minor"/>
    </font>
    <font>
      <sz val="10"/>
      <name val="Arial"/>
      <family val="2"/>
    </font>
    <font>
      <sz val="11"/>
      <color indexed="8"/>
      <name val="Calibri"/>
      <family val="2"/>
    </font>
    <font>
      <sz val="10"/>
      <color indexed="8"/>
      <name val="Times New Roman"/>
      <family val="1"/>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color rgb="FFFF0000"/>
      <name val="Calibri"/>
      <family val="2"/>
      <scheme val="minor"/>
    </font>
    <font>
      <b/>
      <sz val="11"/>
      <color theme="0"/>
      <name val="Calibri"/>
      <family val="2"/>
      <scheme val="minor"/>
    </font>
    <font>
      <u val="single"/>
      <sz val="11"/>
      <color theme="11"/>
      <name val="Calibri"/>
      <family val="2"/>
      <scheme val="minor"/>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sz val="9"/>
      <name val="Tahoma"/>
      <family val="2"/>
    </font>
    <font>
      <b/>
      <sz val="9"/>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1"/>
      <name val="Lao UI"/>
      <family val="2"/>
    </font>
    <font>
      <b/>
      <sz val="11"/>
      <color theme="1"/>
      <name val="Lao UI"/>
      <family val="2"/>
    </font>
    <font>
      <b/>
      <sz val="11"/>
      <color theme="0"/>
      <name val="Lao UI"/>
      <family val="2"/>
    </font>
    <font>
      <b/>
      <sz val="10"/>
      <color theme="9" tint="-0.4999699890613556"/>
      <name val="Lao UI"/>
      <family val="2"/>
    </font>
    <font>
      <sz val="10"/>
      <color theme="1"/>
      <name val="Lao UI"/>
      <family val="2"/>
    </font>
    <font>
      <sz val="10"/>
      <name val="Lao UI"/>
      <family val="2"/>
    </font>
    <font>
      <sz val="10"/>
      <color theme="1" tint="0.49998000264167786"/>
      <name val="Lao UI"/>
      <family val="2"/>
    </font>
    <font>
      <b/>
      <sz val="14"/>
      <color indexed="8"/>
      <name val="Lao UI"/>
      <family val="2"/>
    </font>
    <font>
      <b/>
      <sz val="10"/>
      <color indexed="8"/>
      <name val="Lao UI"/>
      <family val="2"/>
    </font>
    <font>
      <b/>
      <sz val="10"/>
      <color theme="0"/>
      <name val="Lao UI"/>
      <family val="2"/>
    </font>
    <font>
      <b/>
      <sz val="10"/>
      <color theme="1"/>
      <name val="Lao UI"/>
      <family val="2"/>
    </font>
    <font>
      <b/>
      <sz val="10"/>
      <name val="Lao UI"/>
      <family val="2"/>
    </font>
    <font>
      <sz val="13"/>
      <color indexed="8"/>
      <name val="Lao UI"/>
      <family val="2"/>
    </font>
    <font>
      <sz val="10"/>
      <color indexed="8"/>
      <name val="Lao UI"/>
      <family val="2"/>
    </font>
    <font>
      <u val="single"/>
      <sz val="10"/>
      <color indexed="12"/>
      <name val="Lao UI"/>
      <family val="2"/>
    </font>
    <font>
      <sz val="10"/>
      <color indexed="10"/>
      <name val="Lao UI"/>
      <family val="2"/>
    </font>
    <font>
      <sz val="10"/>
      <color indexed="12"/>
      <name val="Lao UI"/>
      <family val="2"/>
    </font>
    <font>
      <u val="single"/>
      <sz val="10"/>
      <color indexed="8"/>
      <name val="Lao UI"/>
      <family val="2"/>
    </font>
    <font>
      <i/>
      <sz val="10"/>
      <color indexed="8"/>
      <name val="Lao UI"/>
      <family val="2"/>
    </font>
    <font>
      <b/>
      <sz val="18"/>
      <color indexed="8"/>
      <name val="Lao UI"/>
      <family val="2"/>
    </font>
    <font>
      <b/>
      <sz val="10"/>
      <color theme="1" tint="0.24998000264167786"/>
      <name val="Lao UI"/>
      <family val="2"/>
    </font>
    <font>
      <sz val="10"/>
      <color theme="1" tint="0.24998000264167786"/>
      <name val="Lao UI"/>
      <family val="2"/>
    </font>
    <font>
      <b/>
      <sz val="14"/>
      <name val="Lao UI"/>
      <family val="2"/>
    </font>
    <font>
      <b/>
      <sz val="10"/>
      <color theme="0" tint="-0.4999699890613556"/>
      <name val="Lao UI"/>
      <family val="2"/>
    </font>
    <font>
      <sz val="10"/>
      <color theme="0" tint="-0.4999699890613556"/>
      <name val="Lao UI"/>
      <family val="2"/>
    </font>
    <font>
      <sz val="10"/>
      <color rgb="FFFF0000"/>
      <name val="Lao UI"/>
      <family val="2"/>
    </font>
    <font>
      <b/>
      <sz val="14"/>
      <color theme="0"/>
      <name val="Lao UI"/>
      <family val="2"/>
    </font>
    <font>
      <b/>
      <sz val="10"/>
      <color rgb="FFFF0000"/>
      <name val="Lao UI"/>
      <family val="2"/>
    </font>
    <font>
      <sz val="10"/>
      <color theme="1" tint="0.34999001026153564"/>
      <name val="Lao UI"/>
      <family val="2"/>
    </font>
    <font>
      <i/>
      <sz val="10"/>
      <color theme="1" tint="0.34999001026153564"/>
      <name val="Lao UI"/>
      <family val="2"/>
    </font>
    <font>
      <b/>
      <sz val="10"/>
      <color theme="0" tint="-0.3499799966812134"/>
      <name val="Lao UI"/>
      <family val="2"/>
    </font>
    <font>
      <sz val="10"/>
      <color theme="0" tint="-0.3499799966812134"/>
      <name val="Lao UI"/>
      <family val="2"/>
    </font>
    <font>
      <sz val="10"/>
      <color rgb="FFCC0000"/>
      <name val="Lao UI"/>
      <family val="2"/>
    </font>
    <font>
      <sz val="9"/>
      <name val="Segoe UI"/>
      <family val="2"/>
    </font>
    <font>
      <b/>
      <sz val="9"/>
      <name val="Segoe UI"/>
      <family val="2"/>
    </font>
    <font>
      <sz val="10"/>
      <color rgb="FFC00000"/>
      <name val="Lao UI"/>
      <family val="2"/>
    </font>
    <font>
      <sz val="10"/>
      <color rgb="FF7030A0"/>
      <name val="Lao UI"/>
      <family val="2"/>
    </font>
    <font>
      <b/>
      <sz val="10"/>
      <color theme="7"/>
      <name val="Lao UI"/>
      <family val="2"/>
    </font>
    <font>
      <b/>
      <sz val="10"/>
      <color rgb="FF7030A0"/>
      <name val="Lao UI"/>
      <family val="2"/>
    </font>
    <font>
      <sz val="11"/>
      <color rgb="FF7030A0"/>
      <name val="Lao UI"/>
      <family val="2"/>
    </font>
    <font>
      <u val="single"/>
      <sz val="9"/>
      <name val="Segoe UI"/>
      <family val="2"/>
    </font>
    <font>
      <b/>
      <u val="single"/>
      <sz val="10"/>
      <color theme="1"/>
      <name val="Lao UI"/>
      <family val="2"/>
    </font>
    <font>
      <b/>
      <i/>
      <sz val="10"/>
      <color theme="1"/>
      <name val="Lao UI"/>
      <family val="2"/>
    </font>
    <font>
      <u val="single"/>
      <sz val="9"/>
      <name val="Tahoma"/>
      <family val="2"/>
    </font>
    <font>
      <b/>
      <sz val="10"/>
      <color theme="7" tint="-0.4999699890613556"/>
      <name val="Lao UI"/>
      <family val="2"/>
    </font>
    <font>
      <sz val="10"/>
      <color theme="7" tint="-0.4999699890613556"/>
      <name val="Lao UI"/>
      <family val="2"/>
    </font>
    <font>
      <sz val="10"/>
      <color theme="7" tint="0.39998000860214233"/>
      <name val="Lao UI"/>
      <family val="2"/>
    </font>
    <font>
      <b/>
      <sz val="10"/>
      <color rgb="FF00B050"/>
      <name val="Lao UI"/>
      <family val="2"/>
    </font>
    <font>
      <b/>
      <sz val="9.5"/>
      <color rgb="FF0000FF"/>
      <name val="Times New Roman"/>
      <family val="1"/>
    </font>
    <font>
      <sz val="10"/>
      <color rgb="FF00B050"/>
      <name val="Lao UI"/>
      <family val="2"/>
    </font>
    <font>
      <b/>
      <i/>
      <sz val="10"/>
      <color rgb="FFFF0000"/>
      <name val="Lao UI"/>
      <family val="2"/>
    </font>
    <font>
      <b/>
      <sz val="10"/>
      <color theme="6" tint="-0.4999699890613556"/>
      <name val="Lao UI"/>
      <family val="2"/>
    </font>
    <font>
      <b/>
      <sz val="14"/>
      <color theme="1"/>
      <name val="Calibri"/>
      <family val="2"/>
    </font>
    <font>
      <sz val="10"/>
      <color theme="1"/>
      <name val="Calibri"/>
      <family val="2"/>
    </font>
    <font>
      <sz val="10"/>
      <color theme="1"/>
      <name val="+mn-cs"/>
      <family val="2"/>
    </font>
    <font>
      <sz val="11"/>
      <color theme="1"/>
      <name val="Calibri"/>
      <family val="2"/>
    </font>
    <font>
      <sz val="11"/>
      <name val="Calibri"/>
      <family val="2"/>
    </font>
    <font>
      <sz val="12"/>
      <color theme="1"/>
      <name val="Calibri"/>
      <family val="2"/>
    </font>
    <font>
      <sz val="10.5"/>
      <name val="Calibri"/>
      <family val="2"/>
    </font>
    <font>
      <b/>
      <sz val="12"/>
      <color rgb="FF000000"/>
      <name val="Calibri"/>
      <family val="2"/>
    </font>
    <font>
      <sz val="9"/>
      <color theme="1" tint="0.35"/>
      <name val="Calibri"/>
      <family val="2"/>
    </font>
    <font>
      <sz val="9"/>
      <color theme="1" tint="0.35"/>
      <name val="+mn-cs"/>
      <family val="2"/>
    </font>
    <font>
      <sz val="14"/>
      <color theme="1" tint="0.35"/>
      <name val="Calibri"/>
      <family val="2"/>
    </font>
    <font>
      <sz val="12"/>
      <color theme="1" tint="0.35"/>
      <name val="Calibri"/>
      <family val="2"/>
    </font>
    <font>
      <sz val="10"/>
      <color theme="1" tint="0.35"/>
      <name val="Calibri"/>
      <family val="2"/>
    </font>
    <font>
      <b/>
      <sz val="14"/>
      <color theme="1" tint="0.35"/>
      <name val="Calibri"/>
      <family val="2"/>
    </font>
    <font>
      <b/>
      <sz val="8"/>
      <name val="Calibri"/>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66"/>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04997999966144562"/>
        <bgColor indexed="64"/>
      </patternFill>
    </fill>
    <fill>
      <patternFill patternType="solid">
        <fgColor rgb="FFFFCB25"/>
        <bgColor indexed="64"/>
      </patternFill>
    </fill>
    <fill>
      <patternFill patternType="solid">
        <fgColor theme="2"/>
        <bgColor indexed="64"/>
      </patternFill>
    </fill>
    <fill>
      <patternFill patternType="solid">
        <fgColor rgb="FFFFC00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s>
  <cellStyleXfs count="5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0" fontId="5" fillId="0" borderId="0" applyNumberFormat="0" applyFill="0" applyBorder="0">
      <alignment/>
      <protection locked="0"/>
    </xf>
    <xf numFmtId="0" fontId="6" fillId="0" borderId="0">
      <alignment/>
      <protection/>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3" fillId="19" borderId="1" applyNumberFormat="0" applyAlignment="0" applyProtection="0"/>
    <xf numFmtId="0" fontId="13" fillId="19" borderId="1" applyNumberFormat="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7" fontId="1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6"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6" fillId="0" borderId="0">
      <alignment/>
      <protection/>
    </xf>
    <xf numFmtId="0" fontId="1" fillId="0" borderId="0">
      <alignment/>
      <protection/>
    </xf>
    <xf numFmtId="0" fontId="14"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9" fillId="8" borderId="0" applyNumberFormat="0" applyFont="0" applyFill="0" applyBorder="0" applyAlignment="0" applyProtection="0"/>
    <xf numFmtId="0" fontId="1" fillId="0" borderId="0">
      <alignment/>
      <protection/>
    </xf>
    <xf numFmtId="0" fontId="1" fillId="0" borderId="0">
      <alignment/>
      <protection/>
    </xf>
    <xf numFmtId="0" fontId="15" fillId="0" borderId="0">
      <alignment/>
      <protection/>
    </xf>
    <xf numFmtId="0" fontId="2" fillId="0" borderId="0">
      <alignment/>
      <protection/>
    </xf>
    <xf numFmtId="0" fontId="14"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20" fillId="0" borderId="0">
      <alignment vertical="top"/>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2" borderId="2" applyNumberFormat="0" applyAlignment="0" applyProtection="0"/>
    <xf numFmtId="0" fontId="21" fillId="10" borderId="2" applyNumberFormat="0" applyAlignment="0" applyProtection="0"/>
    <xf numFmtId="0" fontId="21" fillId="10" borderId="2" applyNumberFormat="0" applyAlignment="0" applyProtection="0"/>
    <xf numFmtId="0" fontId="21" fillId="2"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1" applyNumberFormat="0" applyAlignment="0" applyProtection="0"/>
    <xf numFmtId="0" fontId="26" fillId="19" borderId="1"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6" borderId="0" applyNumberFormat="0" applyBorder="0" applyAlignment="0" applyProtection="0"/>
    <xf numFmtId="0" fontId="28"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 borderId="2" applyNumberFormat="0" applyAlignment="0" applyProtection="0"/>
    <xf numFmtId="0" fontId="29" fillId="10" borderId="2" applyNumberFormat="0" applyAlignment="0" applyProtection="0"/>
    <xf numFmtId="0" fontId="29" fillId="10" borderId="2" applyNumberFormat="0" applyAlignment="0" applyProtection="0"/>
    <xf numFmtId="0" fontId="29" fillId="4" borderId="2" applyNumberFormat="0" applyAlignment="0" applyProtection="0"/>
    <xf numFmtId="0" fontId="30" fillId="20" borderId="0" applyNumberFormat="0" applyBorder="0" applyAlignment="0" applyProtection="0"/>
    <xf numFmtId="0" fontId="30"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4" applyNumberFormat="0" applyFill="0" applyAlignment="0" applyProtection="0"/>
    <xf numFmtId="0" fontId="32" fillId="5" borderId="0" applyNumberFormat="0" applyBorder="0" applyAlignment="0" applyProtection="0"/>
    <xf numFmtId="0" fontId="33" fillId="5"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27" borderId="0" applyNumberFormat="0" applyBorder="0" applyAlignment="0" applyProtection="0"/>
    <xf numFmtId="0" fontId="34" fillId="2" borderId="6" applyNumberFormat="0" applyAlignment="0" applyProtection="0"/>
    <xf numFmtId="0" fontId="34" fillId="10" borderId="6" applyNumberFormat="0" applyAlignment="0" applyProtection="0"/>
    <xf numFmtId="0" fontId="34" fillId="10" borderId="6" applyNumberFormat="0" applyAlignment="0" applyProtection="0"/>
    <xf numFmtId="0" fontId="34" fillId="2" borderId="6" applyNumberFormat="0" applyAlignment="0" applyProtection="0"/>
    <xf numFmtId="0" fontId="1" fillId="21" borderId="7" applyNumberFormat="0" applyFont="0" applyAlignment="0" applyProtection="0"/>
    <xf numFmtId="0" fontId="11" fillId="20" borderId="7" applyNumberFormat="0" applyFont="0" applyAlignment="0" applyProtection="0"/>
    <xf numFmtId="0" fontId="11" fillId="20" borderId="7" applyNumberFormat="0" applyFont="0" applyAlignment="0" applyProtection="0"/>
    <xf numFmtId="0" fontId="1" fillId="21"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8" applyNumberFormat="0" applyFill="0" applyAlignment="0" applyProtection="0"/>
    <xf numFmtId="0" fontId="9" fillId="33" borderId="19" applyNumberFormat="0" applyAlignment="0" applyProtection="0"/>
    <xf numFmtId="0" fontId="8" fillId="0" borderId="0" applyNumberFormat="0" applyFill="0" applyBorder="0" applyAlignment="0" applyProtection="0"/>
    <xf numFmtId="0" fontId="0" fillId="34" borderId="20" applyNumberFormat="0" applyFont="0" applyAlignment="0" applyProtection="0"/>
    <xf numFmtId="0" fontId="54" fillId="0" borderId="0" applyNumberFormat="0" applyFill="0" applyBorder="0" applyAlignment="0" applyProtection="0"/>
    <xf numFmtId="0" fontId="7" fillId="0" borderId="21" applyNumberFormat="0" applyFill="0" applyAlignment="0" applyProtection="0"/>
    <xf numFmtId="0" fontId="55"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0" fillId="56" borderId="0" applyNumberFormat="0" applyBorder="0" applyAlignment="0" applyProtection="0"/>
    <xf numFmtId="0" fontId="0" fillId="57" borderId="0" applyNumberFormat="0" applyBorder="0" applyAlignment="0" applyProtection="0"/>
    <xf numFmtId="0" fontId="55" fillId="58" borderId="0" applyNumberFormat="0" applyBorder="0" applyAlignment="0" applyProtection="0"/>
    <xf numFmtId="0" fontId="1" fillId="0" borderId="0">
      <alignment/>
      <protection/>
    </xf>
    <xf numFmtId="43" fontId="1"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9" fontId="2" fillId="0" borderId="0" applyFont="0" applyFill="0" applyBorder="0" applyAlignment="0" applyProtection="0"/>
  </cellStyleXfs>
  <cellXfs count="1172">
    <xf numFmtId="0" fontId="0" fillId="0" borderId="0" xfId="0"/>
    <xf numFmtId="0" fontId="56" fillId="0" borderId="0" xfId="0" applyFont="1" applyBorder="1"/>
    <xf numFmtId="0" fontId="57" fillId="59" borderId="0" xfId="0" applyFont="1" applyFill="1" applyBorder="1" applyAlignment="1">
      <alignment vertical="center" wrapText="1"/>
    </xf>
    <xf numFmtId="0" fontId="57" fillId="59" borderId="0" xfId="0" applyFont="1" applyFill="1" applyBorder="1" applyAlignment="1">
      <alignment horizontal="left" vertical="center" wrapText="1"/>
    </xf>
    <xf numFmtId="0" fontId="56" fillId="0" borderId="0" xfId="0" applyFont="1" applyBorder="1" applyAlignment="1">
      <alignment vertical="center"/>
    </xf>
    <xf numFmtId="0" fontId="60" fillId="0" borderId="22" xfId="0" applyFont="1" applyFill="1" applyBorder="1" applyAlignment="1">
      <alignment vertical="top" wrapText="1"/>
    </xf>
    <xf numFmtId="0" fontId="60" fillId="0" borderId="0" xfId="0" applyFont="1" applyFill="1" applyBorder="1" applyAlignment="1">
      <alignment vertical="top" wrapText="1"/>
    </xf>
    <xf numFmtId="0" fontId="60" fillId="0" borderId="23" xfId="0" applyFont="1" applyFill="1" applyBorder="1" applyAlignment="1">
      <alignment vertical="top" wrapText="1"/>
    </xf>
    <xf numFmtId="0" fontId="62" fillId="0" borderId="24" xfId="0" applyFont="1" applyFill="1" applyBorder="1" applyAlignment="1">
      <alignment vertical="top" wrapText="1"/>
    </xf>
    <xf numFmtId="0" fontId="60" fillId="0" borderId="25" xfId="0" applyFont="1" applyFill="1" applyBorder="1" applyAlignment="1">
      <alignment vertical="top" wrapText="1"/>
    </xf>
    <xf numFmtId="0" fontId="60" fillId="0" borderId="26" xfId="0" applyFont="1" applyFill="1" applyBorder="1" applyAlignment="1">
      <alignment vertical="top" wrapText="1"/>
    </xf>
    <xf numFmtId="0" fontId="60" fillId="0" borderId="0" xfId="0" applyFont="1" applyFill="1" applyBorder="1"/>
    <xf numFmtId="0" fontId="60" fillId="0" borderId="27" xfId="0" applyFont="1" applyFill="1" applyBorder="1" applyAlignment="1">
      <alignment vertical="top" wrapText="1"/>
    </xf>
    <xf numFmtId="0" fontId="59" fillId="60" borderId="26" xfId="0" applyFont="1" applyFill="1" applyBorder="1" applyAlignment="1">
      <alignment horizontal="left" vertical="top" wrapText="1"/>
    </xf>
    <xf numFmtId="0" fontId="60" fillId="0" borderId="25" xfId="0" applyFont="1" applyFill="1" applyBorder="1"/>
    <xf numFmtId="0" fontId="60" fillId="0" borderId="28" xfId="0" applyFont="1" applyFill="1" applyBorder="1" applyAlignment="1">
      <alignment vertical="top" wrapText="1"/>
    </xf>
    <xf numFmtId="0" fontId="60" fillId="0" borderId="29" xfId="0" applyFont="1" applyFill="1" applyBorder="1" applyAlignment="1">
      <alignment vertical="top" wrapText="1"/>
    </xf>
    <xf numFmtId="0" fontId="59" fillId="60" borderId="25" xfId="0" applyFont="1" applyFill="1" applyBorder="1" applyAlignment="1">
      <alignment horizontal="left" vertical="top" wrapText="1"/>
    </xf>
    <xf numFmtId="0" fontId="60" fillId="0" borderId="24" xfId="0" applyFont="1" applyFill="1" applyBorder="1"/>
    <xf numFmtId="0" fontId="63" fillId="59" borderId="0" xfId="0" applyFont="1" applyFill="1"/>
    <xf numFmtId="0" fontId="60" fillId="2" borderId="0" xfId="0" applyFont="1" applyFill="1" applyAlignment="1">
      <alignment horizontal="right"/>
    </xf>
    <xf numFmtId="0" fontId="60" fillId="2" borderId="0" xfId="0" applyFont="1" applyFill="1"/>
    <xf numFmtId="49" fontId="64" fillId="34" borderId="0" xfId="0" applyNumberFormat="1" applyFont="1" applyFill="1"/>
    <xf numFmtId="49" fontId="60" fillId="34" borderId="0" xfId="0" applyNumberFormat="1" applyFont="1" applyFill="1"/>
    <xf numFmtId="49" fontId="60" fillId="34" borderId="0" xfId="0" applyNumberFormat="1" applyFont="1" applyFill="1" applyAlignment="1">
      <alignment horizontal="right"/>
    </xf>
    <xf numFmtId="0" fontId="65" fillId="61" borderId="30" xfId="0" applyFont="1" applyFill="1" applyBorder="1" applyAlignment="1" applyProtection="1">
      <alignment horizontal="left"/>
      <protection locked="0"/>
    </xf>
    <xf numFmtId="0" fontId="65" fillId="61" borderId="31" xfId="0" applyFont="1" applyFill="1" applyBorder="1" applyAlignment="1">
      <alignment horizontal="right" vertical="center"/>
    </xf>
    <xf numFmtId="0" fontId="65" fillId="61" borderId="30" xfId="0" applyFont="1" applyFill="1" applyBorder="1" applyAlignment="1">
      <alignment horizontal="left" vertical="center"/>
    </xf>
    <xf numFmtId="3" fontId="60" fillId="2" borderId="32" xfId="0" applyNumberFormat="1" applyFont="1" applyFill="1" applyBorder="1" applyAlignment="1">
      <alignment horizontal="right"/>
    </xf>
    <xf numFmtId="3" fontId="60" fillId="2" borderId="29" xfId="0" applyNumberFormat="1" applyFont="1" applyFill="1" applyBorder="1" applyAlignment="1">
      <alignment horizontal="right"/>
    </xf>
    <xf numFmtId="0" fontId="60" fillId="2" borderId="22" xfId="0" applyFont="1" applyFill="1" applyBorder="1" applyAlignment="1">
      <alignment horizontal="left" indent="1"/>
    </xf>
    <xf numFmtId="3" fontId="60" fillId="2" borderId="0" xfId="0" applyNumberFormat="1" applyFont="1" applyFill="1" applyBorder="1" applyAlignment="1">
      <alignment horizontal="right"/>
    </xf>
    <xf numFmtId="0" fontId="60" fillId="62" borderId="22" xfId="0" applyFont="1" applyFill="1" applyBorder="1" applyAlignment="1">
      <alignment horizontal="left" indent="1"/>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0" fontId="60" fillId="62" borderId="0" xfId="0" applyFont="1" applyFill="1"/>
    <xf numFmtId="9" fontId="60" fillId="62" borderId="0" xfId="0" applyNumberFormat="1" applyFont="1" applyFill="1" applyBorder="1"/>
    <xf numFmtId="0" fontId="66" fillId="62" borderId="22" xfId="0" applyFont="1" applyFill="1" applyBorder="1" applyAlignment="1">
      <alignment horizontal="left" indent="1"/>
    </xf>
    <xf numFmtId="172" fontId="60" fillId="62" borderId="0" xfId="0" applyNumberFormat="1" applyFont="1" applyFill="1" applyBorder="1"/>
    <xf numFmtId="172" fontId="60" fillId="62" borderId="23" xfId="0" applyNumberFormat="1" applyFont="1" applyFill="1" applyBorder="1"/>
    <xf numFmtId="0" fontId="60" fillId="62" borderId="33" xfId="0" applyFont="1" applyFill="1" applyBorder="1"/>
    <xf numFmtId="0" fontId="60" fillId="62" borderId="0" xfId="0" applyFont="1" applyFill="1" applyBorder="1"/>
    <xf numFmtId="0" fontId="60" fillId="62" borderId="23" xfId="0" applyFont="1" applyFill="1" applyBorder="1"/>
    <xf numFmtId="0" fontId="66" fillId="60" borderId="22" xfId="0" applyFont="1" applyFill="1" applyBorder="1" applyAlignment="1">
      <alignment horizontal="left" indent="1"/>
    </xf>
    <xf numFmtId="3" fontId="66" fillId="60" borderId="22" xfId="0" applyNumberFormat="1" applyFont="1" applyFill="1" applyBorder="1" applyAlignment="1">
      <alignment horizontal="right"/>
    </xf>
    <xf numFmtId="3" fontId="66" fillId="60" borderId="0" xfId="0" applyNumberFormat="1" applyFont="1" applyFill="1" applyBorder="1" applyAlignment="1">
      <alignment horizontal="right"/>
    </xf>
    <xf numFmtId="0" fontId="66" fillId="2" borderId="22" xfId="0" applyFont="1" applyFill="1" applyBorder="1" applyAlignment="1">
      <alignment horizontal="left" indent="1"/>
    </xf>
    <xf numFmtId="3" fontId="66" fillId="2" borderId="0" xfId="0" applyNumberFormat="1" applyFont="1" applyFill="1" applyBorder="1" applyAlignment="1">
      <alignment horizontal="right"/>
    </xf>
    <xf numFmtId="49" fontId="68" fillId="59" borderId="0" xfId="0" applyNumberFormat="1" applyFont="1" applyFill="1"/>
    <xf numFmtId="49" fontId="60" fillId="2" borderId="0" xfId="0" applyNumberFormat="1" applyFont="1" applyFill="1"/>
    <xf numFmtId="49" fontId="60" fillId="59" borderId="0" xfId="0" applyNumberFormat="1" applyFont="1" applyFill="1"/>
    <xf numFmtId="49" fontId="70" fillId="59" borderId="0" xfId="22" applyNumberFormat="1" applyFont="1" applyFill="1" applyAlignment="1" applyProtection="1">
      <alignment/>
      <protection/>
    </xf>
    <xf numFmtId="49" fontId="71" fillId="2" borderId="0" xfId="0" applyNumberFormat="1" applyFont="1" applyFill="1"/>
    <xf numFmtId="171" fontId="60" fillId="2" borderId="0" xfId="0" applyNumberFormat="1" applyFont="1" applyFill="1"/>
    <xf numFmtId="49" fontId="64" fillId="63" borderId="0" xfId="0" applyNumberFormat="1" applyFont="1" applyFill="1"/>
    <xf numFmtId="49" fontId="60" fillId="63" borderId="0" xfId="0" applyNumberFormat="1" applyFont="1" applyFill="1"/>
    <xf numFmtId="49" fontId="60" fillId="63" borderId="0" xfId="0" applyNumberFormat="1" applyFont="1" applyFill="1" applyAlignment="1">
      <alignment horizontal="right"/>
    </xf>
    <xf numFmtId="49" fontId="64" fillId="2" borderId="0" xfId="0" applyNumberFormat="1" applyFont="1" applyFill="1"/>
    <xf numFmtId="49" fontId="60" fillId="2" borderId="0" xfId="0" applyNumberFormat="1" applyFont="1" applyFill="1" applyAlignment="1">
      <alignment horizontal="right"/>
    </xf>
    <xf numFmtId="49" fontId="72" fillId="2" borderId="0" xfId="22" applyNumberFormat="1" applyFont="1" applyFill="1" applyAlignment="1" applyProtection="1">
      <alignment/>
      <protection/>
    </xf>
    <xf numFmtId="49" fontId="60" fillId="2" borderId="0" xfId="0" applyNumberFormat="1" applyFont="1" applyFill="1" applyAlignment="1">
      <alignment wrapText="1"/>
    </xf>
    <xf numFmtId="11" fontId="60" fillId="2" borderId="0" xfId="0" applyNumberFormat="1" applyFont="1" applyFill="1" applyAlignment="1">
      <alignment horizontal="left" vertical="center" wrapText="1"/>
    </xf>
    <xf numFmtId="11" fontId="60" fillId="2" borderId="0" xfId="0" applyNumberFormat="1" applyFont="1" applyFill="1" applyAlignment="1">
      <alignment horizontal="left" vertical="center" wrapText="1" indent="1"/>
    </xf>
    <xf numFmtId="49" fontId="60" fillId="2" borderId="0" xfId="0" applyNumberFormat="1" applyFont="1" applyFill="1" applyAlignment="1">
      <alignment horizontal="left" indent="1"/>
    </xf>
    <xf numFmtId="49" fontId="64" fillId="2" borderId="0" xfId="0" applyNumberFormat="1" applyFont="1" applyFill="1" applyAlignment="1">
      <alignment horizontal="left" vertical="center"/>
    </xf>
    <xf numFmtId="49" fontId="60" fillId="2" borderId="0" xfId="0" applyNumberFormat="1" applyFont="1" applyFill="1" applyAlignment="1">
      <alignment vertical="center" wrapText="1"/>
    </xf>
    <xf numFmtId="49" fontId="60" fillId="2" borderId="0" xfId="0" applyNumberFormat="1" applyFont="1" applyFill="1" applyAlignment="1">
      <alignment horizontal="left" vertical="center"/>
    </xf>
    <xf numFmtId="11" fontId="60" fillId="2" borderId="0" xfId="0" applyNumberFormat="1" applyFont="1" applyFill="1" applyAlignment="1">
      <alignment/>
    </xf>
    <xf numFmtId="49" fontId="64" fillId="2" borderId="0" xfId="0" applyNumberFormat="1" applyFont="1" applyFill="1" applyAlignment="1">
      <alignment horizontal="left" indent="1"/>
    </xf>
    <xf numFmtId="49" fontId="60" fillId="2" borderId="0" xfId="0" applyNumberFormat="1" applyFont="1" applyFill="1" applyAlignment="1">
      <alignment horizontal="center" vertical="center"/>
    </xf>
    <xf numFmtId="49" fontId="60" fillId="2" borderId="0" xfId="0" applyNumberFormat="1" applyFont="1" applyFill="1" applyAlignment="1">
      <alignment horizontal="right" vertical="center" wrapText="1" indent="1"/>
    </xf>
    <xf numFmtId="49" fontId="60" fillId="2" borderId="0" xfId="0" applyNumberFormat="1" applyFont="1" applyFill="1" applyAlignment="1">
      <alignment horizontal="left" vertical="center" wrapText="1" indent="1"/>
    </xf>
    <xf numFmtId="11" fontId="60" fillId="2" borderId="0" xfId="0" applyNumberFormat="1" applyFont="1" applyFill="1"/>
    <xf numFmtId="49" fontId="75" fillId="59" borderId="0" xfId="0" applyNumberFormat="1" applyFont="1" applyFill="1"/>
    <xf numFmtId="0" fontId="63" fillId="63" borderId="0" xfId="0" applyFont="1" applyFill="1"/>
    <xf numFmtId="0" fontId="60" fillId="63" borderId="0" xfId="0" applyFont="1" applyFill="1"/>
    <xf numFmtId="173" fontId="60" fillId="2" borderId="0" xfId="20" applyNumberFormat="1" applyFont="1" applyFill="1"/>
    <xf numFmtId="49" fontId="76" fillId="63" borderId="0" xfId="0" applyNumberFormat="1" applyFont="1" applyFill="1"/>
    <xf numFmtId="0" fontId="77" fillId="63" borderId="0" xfId="0" applyNumberFormat="1" applyFont="1" applyFill="1" applyAlignment="1">
      <alignment horizontal="right"/>
    </xf>
    <xf numFmtId="49" fontId="77" fillId="63" borderId="0" xfId="0" applyNumberFormat="1" applyFont="1" applyFill="1" applyAlignment="1">
      <alignment horizontal="right"/>
    </xf>
    <xf numFmtId="0" fontId="64" fillId="2" borderId="0" xfId="0" applyFont="1" applyFill="1"/>
    <xf numFmtId="0" fontId="65" fillId="61" borderId="31" xfId="0" applyFont="1" applyFill="1" applyBorder="1" applyAlignment="1">
      <alignment horizontal="center"/>
    </xf>
    <xf numFmtId="0" fontId="65" fillId="61" borderId="31" xfId="0" applyFont="1" applyFill="1" applyBorder="1" applyAlignment="1">
      <alignment horizontal="right" vertical="center"/>
    </xf>
    <xf numFmtId="49" fontId="66" fillId="2" borderId="28" xfId="0" applyNumberFormat="1" applyFont="1" applyFill="1" applyBorder="1" applyAlignment="1">
      <alignment horizontal="center"/>
    </xf>
    <xf numFmtId="3" fontId="60" fillId="34" borderId="28" xfId="0" applyNumberFormat="1" applyFont="1" applyFill="1" applyBorder="1"/>
    <xf numFmtId="3" fontId="60" fillId="34" borderId="32" xfId="0" applyNumberFormat="1" applyFont="1" applyFill="1" applyBorder="1"/>
    <xf numFmtId="3" fontId="60" fillId="59" borderId="32" xfId="0" applyNumberFormat="1" applyFont="1" applyFill="1" applyBorder="1"/>
    <xf numFmtId="3" fontId="60" fillId="59" borderId="29" xfId="0" applyNumberFormat="1" applyFont="1" applyFill="1" applyBorder="1"/>
    <xf numFmtId="49" fontId="66" fillId="2" borderId="22" xfId="0" applyNumberFormat="1" applyFont="1" applyFill="1" applyBorder="1" applyAlignment="1">
      <alignment horizontal="center"/>
    </xf>
    <xf numFmtId="3" fontId="60" fillId="34" borderId="22" xfId="0" applyNumberFormat="1" applyFont="1" applyFill="1" applyBorder="1"/>
    <xf numFmtId="3" fontId="60" fillId="34" borderId="0" xfId="0" applyNumberFormat="1" applyFont="1" applyFill="1" applyBorder="1"/>
    <xf numFmtId="3" fontId="60" fillId="59" borderId="0" xfId="0" applyNumberFormat="1" applyFont="1" applyFill="1" applyBorder="1"/>
    <xf numFmtId="3" fontId="60" fillId="59" borderId="23" xfId="0" applyNumberFormat="1" applyFont="1" applyFill="1" applyBorder="1"/>
    <xf numFmtId="49" fontId="66" fillId="2" borderId="34" xfId="0" applyNumberFormat="1" applyFont="1" applyFill="1" applyBorder="1" applyAlignment="1">
      <alignment horizontal="center"/>
    </xf>
    <xf numFmtId="3" fontId="60" fillId="34" borderId="34" xfId="0" applyNumberFormat="1" applyFont="1" applyFill="1" applyBorder="1"/>
    <xf numFmtId="3" fontId="60" fillId="34" borderId="35" xfId="0" applyNumberFormat="1" applyFont="1" applyFill="1" applyBorder="1"/>
    <xf numFmtId="3" fontId="60" fillId="59" borderId="35" xfId="0" applyNumberFormat="1" applyFont="1" applyFill="1" applyBorder="1"/>
    <xf numFmtId="49" fontId="65" fillId="61" borderId="36" xfId="0" applyNumberFormat="1" applyFont="1" applyFill="1" applyBorder="1" applyAlignment="1">
      <alignment horizontal="center"/>
    </xf>
    <xf numFmtId="3" fontId="65" fillId="61" borderId="36" xfId="0" applyNumberFormat="1" applyFont="1" applyFill="1" applyBorder="1" applyAlignment="1">
      <alignment horizontal="right" wrapText="1"/>
    </xf>
    <xf numFmtId="3" fontId="60" fillId="2" borderId="0" xfId="0" applyNumberFormat="1" applyFont="1" applyFill="1"/>
    <xf numFmtId="0" fontId="65" fillId="61" borderId="30" xfId="0" applyFont="1" applyFill="1" applyBorder="1" applyAlignment="1">
      <alignment horizontal="center"/>
    </xf>
    <xf numFmtId="3" fontId="60" fillId="34" borderId="29" xfId="0" applyNumberFormat="1" applyFont="1" applyFill="1" applyBorder="1"/>
    <xf numFmtId="3" fontId="60" fillId="34" borderId="23" xfId="0" applyNumberFormat="1" applyFont="1" applyFill="1" applyBorder="1"/>
    <xf numFmtId="3" fontId="60" fillId="34" borderId="27" xfId="0" applyNumberFormat="1" applyFont="1" applyFill="1" applyBorder="1"/>
    <xf numFmtId="49" fontId="65" fillId="61" borderId="30" xfId="0" applyNumberFormat="1" applyFont="1" applyFill="1" applyBorder="1" applyAlignment="1">
      <alignment horizontal="center"/>
    </xf>
    <xf numFmtId="3" fontId="65" fillId="61" borderId="36" xfId="0" applyNumberFormat="1" applyFont="1" applyFill="1" applyBorder="1" applyAlignment="1">
      <alignment horizontal="right"/>
    </xf>
    <xf numFmtId="49" fontId="66" fillId="2" borderId="31" xfId="0" applyNumberFormat="1" applyFont="1" applyFill="1" applyBorder="1" applyAlignment="1">
      <alignment horizontal="center"/>
    </xf>
    <xf numFmtId="49" fontId="66" fillId="2" borderId="33" xfId="0" applyNumberFormat="1" applyFont="1" applyFill="1" applyBorder="1" applyAlignment="1">
      <alignment horizontal="center"/>
    </xf>
    <xf numFmtId="49" fontId="66" fillId="2" borderId="36" xfId="0" applyNumberFormat="1" applyFont="1" applyFill="1" applyBorder="1" applyAlignment="1">
      <alignment horizontal="center"/>
    </xf>
    <xf numFmtId="3" fontId="60" fillId="62" borderId="0" xfId="0" applyNumberFormat="1" applyFont="1" applyFill="1"/>
    <xf numFmtId="173" fontId="60" fillId="62" borderId="0" xfId="20" applyNumberFormat="1" applyFont="1" applyFill="1"/>
    <xf numFmtId="0" fontId="60" fillId="62" borderId="22" xfId="0" applyFont="1" applyFill="1" applyBorder="1"/>
    <xf numFmtId="170" fontId="60" fillId="34" borderId="0" xfId="0" applyNumberFormat="1" applyFont="1" applyFill="1" applyBorder="1"/>
    <xf numFmtId="173" fontId="60" fillId="62" borderId="0" xfId="20" applyNumberFormat="1" applyFont="1" applyFill="1" applyBorder="1"/>
    <xf numFmtId="49" fontId="77" fillId="63" borderId="0" xfId="0" applyNumberFormat="1" applyFont="1" applyFill="1"/>
    <xf numFmtId="0" fontId="65" fillId="61" borderId="30" xfId="0" applyNumberFormat="1" applyFont="1" applyFill="1" applyBorder="1" applyAlignment="1">
      <alignment horizontal="center"/>
    </xf>
    <xf numFmtId="0" fontId="65" fillId="61" borderId="30" xfId="0" applyFont="1" applyFill="1" applyBorder="1" applyAlignment="1">
      <alignment horizontal="right" vertical="center"/>
    </xf>
    <xf numFmtId="0" fontId="65" fillId="61" borderId="26" xfId="0" applyFont="1" applyFill="1" applyBorder="1" applyAlignment="1">
      <alignment horizontal="left" vertical="center"/>
    </xf>
    <xf numFmtId="3" fontId="60" fillId="59" borderId="0" xfId="0" applyNumberFormat="1" applyFont="1" applyFill="1" applyBorder="1" applyAlignment="1">
      <alignment horizontal="right"/>
    </xf>
    <xf numFmtId="3" fontId="60" fillId="59" borderId="23" xfId="0" applyNumberFormat="1" applyFont="1" applyFill="1" applyBorder="1" applyAlignment="1">
      <alignment horizontal="right"/>
    </xf>
    <xf numFmtId="3" fontId="60" fillId="59" borderId="35" xfId="0" applyNumberFormat="1" applyFont="1" applyFill="1" applyBorder="1" applyAlignment="1">
      <alignment horizontal="right"/>
    </xf>
    <xf numFmtId="3" fontId="60" fillId="59" borderId="27" xfId="0" applyNumberFormat="1" applyFont="1" applyFill="1" applyBorder="1" applyAlignment="1">
      <alignment horizontal="right"/>
    </xf>
    <xf numFmtId="49" fontId="65" fillId="61" borderId="30" xfId="0" applyNumberFormat="1" applyFont="1" applyFill="1" applyBorder="1" applyAlignment="1">
      <alignment horizontal="left" indent="1"/>
    </xf>
    <xf numFmtId="3" fontId="65" fillId="61" borderId="24" xfId="0" applyNumberFormat="1" applyFont="1" applyFill="1" applyBorder="1"/>
    <xf numFmtId="3" fontId="65" fillId="61" borderId="30" xfId="0" applyNumberFormat="1" applyFont="1" applyFill="1" applyBorder="1"/>
    <xf numFmtId="3" fontId="65" fillId="61" borderId="30" xfId="0" applyNumberFormat="1" applyFont="1" applyFill="1" applyBorder="1" applyAlignment="1">
      <alignment horizontal="right"/>
    </xf>
    <xf numFmtId="0" fontId="64" fillId="62" borderId="0" xfId="0" applyFont="1" applyFill="1"/>
    <xf numFmtId="0" fontId="65" fillId="61" borderId="29" xfId="0" applyFont="1" applyFill="1" applyBorder="1" applyAlignment="1">
      <alignment horizontal="right" vertical="center"/>
    </xf>
    <xf numFmtId="0" fontId="78" fillId="63" borderId="0" xfId="0" applyFont="1" applyFill="1"/>
    <xf numFmtId="3" fontId="60" fillId="0" borderId="0" xfId="0" applyNumberFormat="1" applyFont="1"/>
    <xf numFmtId="0" fontId="67" fillId="62" borderId="0" xfId="0" applyFont="1" applyFill="1"/>
    <xf numFmtId="0" fontId="67" fillId="2" borderId="0" xfId="0" applyFont="1" applyFill="1"/>
    <xf numFmtId="0" fontId="61" fillId="2" borderId="0" xfId="0" applyFont="1" applyFill="1"/>
    <xf numFmtId="0" fontId="61" fillId="62" borderId="0" xfId="0" applyFont="1" applyFill="1"/>
    <xf numFmtId="10" fontId="61" fillId="2" borderId="0" xfId="24" applyNumberFormat="1" applyFont="1" applyFill="1"/>
    <xf numFmtId="0" fontId="65" fillId="61" borderId="31" xfId="0" applyFont="1" applyFill="1" applyBorder="1" applyAlignment="1">
      <alignment horizontal="left"/>
    </xf>
    <xf numFmtId="0" fontId="67" fillId="62" borderId="28" xfId="0" applyFont="1" applyFill="1" applyBorder="1" applyAlignment="1">
      <alignment horizontal="left"/>
    </xf>
    <xf numFmtId="3" fontId="61" fillId="59" borderId="28" xfId="0" applyNumberFormat="1" applyFont="1" applyFill="1" applyBorder="1" applyAlignment="1">
      <alignment horizontal="right"/>
    </xf>
    <xf numFmtId="3" fontId="61" fillId="59" borderId="32" xfId="0" applyNumberFormat="1" applyFont="1" applyFill="1" applyBorder="1" applyAlignment="1">
      <alignment horizontal="right"/>
    </xf>
    <xf numFmtId="3" fontId="61" fillId="59" borderId="29" xfId="0" applyNumberFormat="1" applyFont="1" applyFill="1" applyBorder="1" applyAlignment="1">
      <alignment horizontal="right"/>
    </xf>
    <xf numFmtId="0" fontId="61" fillId="62" borderId="0" xfId="0" applyFont="1" applyFill="1" applyBorder="1"/>
    <xf numFmtId="0" fontId="64" fillId="62" borderId="34" xfId="0" applyFont="1" applyFill="1" applyBorder="1" applyAlignment="1">
      <alignment horizontal="left"/>
    </xf>
    <xf numFmtId="172" fontId="61" fillId="34" borderId="34"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172" fontId="61" fillId="59" borderId="35" xfId="20" applyNumberFormat="1" applyFont="1" applyFill="1" applyBorder="1" applyAlignment="1">
      <alignment horizontal="right"/>
    </xf>
    <xf numFmtId="0" fontId="61" fillId="2" borderId="22" xfId="0" applyFont="1" applyFill="1" applyBorder="1" applyAlignment="1">
      <alignment horizontal="left"/>
    </xf>
    <xf numFmtId="169" fontId="61" fillId="62" borderId="0" xfId="0" applyNumberFormat="1" applyFont="1" applyFill="1" applyBorder="1" applyAlignment="1">
      <alignment horizontal="right" vertical="center"/>
    </xf>
    <xf numFmtId="0" fontId="61" fillId="62" borderId="0" xfId="0" applyFont="1" applyFill="1" applyBorder="1" applyAlignment="1">
      <alignment horizontal="right"/>
    </xf>
    <xf numFmtId="0" fontId="61" fillId="62" borderId="23" xfId="0" applyFont="1" applyFill="1" applyBorder="1" applyAlignment="1">
      <alignment horizontal="right"/>
    </xf>
    <xf numFmtId="3" fontId="60" fillId="34" borderId="28" xfId="21" applyNumberFormat="1" applyFont="1" applyFill="1" applyBorder="1" applyAlignment="1">
      <alignment horizontal="right"/>
    </xf>
    <xf numFmtId="3" fontId="60" fillId="34" borderId="32" xfId="21" applyNumberFormat="1" applyFont="1" applyFill="1" applyBorder="1" applyAlignment="1">
      <alignment horizontal="right"/>
    </xf>
    <xf numFmtId="3" fontId="60" fillId="59" borderId="32" xfId="21" applyNumberFormat="1" applyFont="1" applyFill="1" applyBorder="1" applyAlignment="1">
      <alignment horizontal="right"/>
    </xf>
    <xf numFmtId="3" fontId="60" fillId="59" borderId="29" xfId="21" applyNumberFormat="1" applyFont="1" applyFill="1" applyBorder="1" applyAlignment="1">
      <alignment horizontal="right"/>
    </xf>
    <xf numFmtId="0" fontId="67" fillId="62" borderId="22" xfId="0" applyFont="1" applyFill="1" applyBorder="1" applyAlignment="1">
      <alignment horizontal="left"/>
    </xf>
    <xf numFmtId="172" fontId="61" fillId="34" borderId="0" xfId="20" applyNumberFormat="1" applyFont="1" applyFill="1" applyBorder="1" applyAlignment="1">
      <alignment horizontal="right" vertical="center"/>
    </xf>
    <xf numFmtId="172" fontId="61" fillId="59" borderId="0" xfId="20" applyNumberFormat="1" applyFont="1" applyFill="1" applyBorder="1" applyAlignment="1">
      <alignment horizontal="right"/>
    </xf>
    <xf numFmtId="172" fontId="61" fillId="62" borderId="0" xfId="20" applyNumberFormat="1" applyFont="1" applyFill="1" applyBorder="1" applyAlignment="1">
      <alignment horizontal="right" vertical="center"/>
    </xf>
    <xf numFmtId="0" fontId="64" fillId="62" borderId="22" xfId="0" applyFont="1" applyFill="1" applyBorder="1" applyAlignment="1">
      <alignment horizontal="left"/>
    </xf>
    <xf numFmtId="3" fontId="60" fillId="34" borderId="22" xfId="21" applyNumberFormat="1" applyFont="1" applyFill="1" applyBorder="1" applyAlignment="1">
      <alignment horizontal="right"/>
    </xf>
    <xf numFmtId="3" fontId="60" fillId="34" borderId="0" xfId="21" applyNumberFormat="1" applyFont="1" applyFill="1" applyBorder="1" applyAlignment="1">
      <alignment horizontal="right"/>
    </xf>
    <xf numFmtId="3" fontId="60" fillId="59" borderId="0" xfId="21" applyNumberFormat="1" applyFont="1" applyFill="1" applyBorder="1" applyAlignment="1">
      <alignment horizontal="right"/>
    </xf>
    <xf numFmtId="3" fontId="60" fillId="59" borderId="23" xfId="21" applyNumberFormat="1" applyFont="1" applyFill="1" applyBorder="1" applyAlignment="1">
      <alignment horizontal="right"/>
    </xf>
    <xf numFmtId="3" fontId="61" fillId="34" borderId="0" xfId="0" applyNumberFormat="1" applyFont="1" applyFill="1" applyBorder="1" applyAlignment="1">
      <alignment horizontal="right"/>
    </xf>
    <xf numFmtId="172" fontId="60" fillId="34" borderId="0" xfId="0" applyNumberFormat="1" applyFont="1" applyFill="1" applyBorder="1" applyAlignment="1">
      <alignment horizontal="right" vertical="center" wrapText="1"/>
    </xf>
    <xf numFmtId="172" fontId="60" fillId="59" borderId="0" xfId="0" applyNumberFormat="1" applyFont="1" applyFill="1" applyBorder="1" applyAlignment="1">
      <alignment horizontal="right" vertical="center" wrapText="1"/>
    </xf>
    <xf numFmtId="172" fontId="60" fillId="59" borderId="23" xfId="0" applyNumberFormat="1" applyFont="1" applyFill="1" applyBorder="1" applyAlignment="1">
      <alignment horizontal="right" vertical="center" wrapText="1"/>
    </xf>
    <xf numFmtId="172" fontId="80" fillId="34" borderId="0" xfId="20" applyNumberFormat="1" applyFont="1" applyFill="1" applyBorder="1" applyAlignment="1">
      <alignment horizontal="right" vertical="center"/>
    </xf>
    <xf numFmtId="172" fontId="80" fillId="34" borderId="0" xfId="0" applyNumberFormat="1" applyFont="1" applyFill="1" applyBorder="1" applyAlignment="1">
      <alignment horizontal="right" vertical="center" wrapText="1"/>
    </xf>
    <xf numFmtId="172" fontId="80" fillId="59" borderId="0" xfId="0" applyNumberFormat="1" applyFont="1" applyFill="1" applyBorder="1" applyAlignment="1">
      <alignment horizontal="right" vertical="center" wrapText="1"/>
    </xf>
    <xf numFmtId="172" fontId="80" fillId="59" borderId="23" xfId="0" applyNumberFormat="1" applyFont="1" applyFill="1" applyBorder="1" applyAlignment="1">
      <alignment horizontal="right" vertical="center" wrapText="1"/>
    </xf>
    <xf numFmtId="3" fontId="60" fillId="62" borderId="22" xfId="21" applyNumberFormat="1" applyFont="1" applyFill="1" applyBorder="1" applyAlignment="1">
      <alignment horizontal="right"/>
    </xf>
    <xf numFmtId="3" fontId="60" fillId="62" borderId="0" xfId="21" applyNumberFormat="1" applyFont="1" applyFill="1" applyBorder="1" applyAlignment="1">
      <alignment horizontal="right"/>
    </xf>
    <xf numFmtId="3" fontId="60" fillId="62" borderId="23" xfId="21" applyNumberFormat="1" applyFont="1" applyFill="1" applyBorder="1" applyAlignment="1">
      <alignment horizontal="right"/>
    </xf>
    <xf numFmtId="3" fontId="60" fillId="34" borderId="35" xfId="21" applyNumberFormat="1" applyFont="1" applyFill="1" applyBorder="1" applyAlignment="1">
      <alignment horizontal="right"/>
    </xf>
    <xf numFmtId="0" fontId="67" fillId="62" borderId="28" xfId="0" applyFont="1" applyFill="1" applyBorder="1" applyAlignment="1">
      <alignment horizontal="left"/>
    </xf>
    <xf numFmtId="3" fontId="60" fillId="34" borderId="32" xfId="21" applyNumberFormat="1" applyFont="1" applyFill="1" applyBorder="1" applyAlignment="1">
      <alignment horizontal="right"/>
    </xf>
    <xf numFmtId="3" fontId="60" fillId="34" borderId="29" xfId="21" applyNumberFormat="1" applyFont="1" applyFill="1" applyBorder="1" applyAlignment="1">
      <alignment horizontal="right"/>
    </xf>
    <xf numFmtId="3" fontId="60" fillId="59" borderId="32" xfId="21" applyNumberFormat="1" applyFont="1" applyFill="1" applyBorder="1" applyAlignment="1">
      <alignment horizontal="right"/>
    </xf>
    <xf numFmtId="0" fontId="67" fillId="62" borderId="34" xfId="0" applyFont="1" applyFill="1" applyBorder="1" applyAlignment="1">
      <alignment horizontal="left"/>
    </xf>
    <xf numFmtId="0" fontId="81" fillId="62" borderId="0" xfId="0" applyFont="1" applyFill="1" applyBorder="1"/>
    <xf numFmtId="0" fontId="65" fillId="62" borderId="22" xfId="0" applyFont="1" applyFill="1" applyBorder="1" applyAlignment="1">
      <alignment horizontal="left"/>
    </xf>
    <xf numFmtId="0" fontId="61" fillId="62" borderId="0" xfId="0" applyFont="1" applyFill="1" applyBorder="1" applyAlignment="1">
      <alignment horizontal="right" vertical="center"/>
    </xf>
    <xf numFmtId="170" fontId="61" fillId="62" borderId="0" xfId="0" applyNumberFormat="1" applyFont="1" applyFill="1" applyBorder="1" applyAlignment="1">
      <alignment horizontal="right" vertical="center"/>
    </xf>
    <xf numFmtId="169" fontId="61" fillId="62" borderId="0" xfId="0" applyNumberFormat="1" applyFont="1" applyFill="1" applyBorder="1" applyAlignment="1">
      <alignment horizontal="right"/>
    </xf>
    <xf numFmtId="169" fontId="61" fillId="62" borderId="23" xfId="0" applyNumberFormat="1" applyFont="1" applyFill="1" applyBorder="1" applyAlignment="1">
      <alignment horizontal="right"/>
    </xf>
    <xf numFmtId="172" fontId="61" fillId="34" borderId="28" xfId="20" applyNumberFormat="1" applyFont="1" applyFill="1" applyBorder="1" applyAlignment="1">
      <alignment horizontal="right" vertical="center"/>
    </xf>
    <xf numFmtId="172" fontId="61" fillId="34" borderId="32" xfId="0" applyNumberFormat="1" applyFont="1" applyFill="1" applyBorder="1" applyAlignment="1">
      <alignment horizontal="right"/>
    </xf>
    <xf numFmtId="172" fontId="61" fillId="34" borderId="29" xfId="0" applyNumberFormat="1" applyFont="1" applyFill="1" applyBorder="1" applyAlignment="1">
      <alignment horizontal="right"/>
    </xf>
    <xf numFmtId="172" fontId="61" fillId="59" borderId="32" xfId="0" applyNumberFormat="1" applyFont="1" applyFill="1" applyBorder="1" applyAlignment="1">
      <alignment horizontal="right"/>
    </xf>
    <xf numFmtId="172" fontId="61" fillId="59" borderId="29" xfId="0" applyNumberFormat="1" applyFont="1" applyFill="1" applyBorder="1" applyAlignment="1">
      <alignment horizontal="right"/>
    </xf>
    <xf numFmtId="3" fontId="60" fillId="34" borderId="23" xfId="21" applyNumberFormat="1" applyFont="1" applyFill="1" applyBorder="1" applyAlignment="1">
      <alignment horizontal="right"/>
    </xf>
    <xf numFmtId="3" fontId="61" fillId="59" borderId="22" xfId="0" applyNumberFormat="1" applyFont="1" applyFill="1" applyBorder="1" applyAlignment="1">
      <alignment horizontal="right"/>
    </xf>
    <xf numFmtId="3" fontId="61" fillId="34" borderId="22" xfId="0" applyNumberFormat="1" applyFont="1" applyFill="1" applyBorder="1" applyAlignment="1">
      <alignment horizontal="right"/>
    </xf>
    <xf numFmtId="3" fontId="61" fillId="34" borderId="23" xfId="0" applyNumberFormat="1" applyFont="1" applyFill="1" applyBorder="1" applyAlignment="1">
      <alignment horizontal="right"/>
    </xf>
    <xf numFmtId="3" fontId="61" fillId="59" borderId="0" xfId="0" applyNumberFormat="1" applyFont="1" applyFill="1" applyBorder="1" applyAlignment="1">
      <alignment horizontal="right"/>
    </xf>
    <xf numFmtId="3" fontId="61" fillId="59" borderId="23" xfId="0" applyNumberFormat="1" applyFont="1" applyFill="1" applyBorder="1" applyAlignment="1">
      <alignment horizontal="right"/>
    </xf>
    <xf numFmtId="170" fontId="61" fillId="34" borderId="22" xfId="0" applyNumberFormat="1" applyFont="1" applyFill="1" applyBorder="1" applyAlignment="1">
      <alignment horizontal="right" vertical="center"/>
    </xf>
    <xf numFmtId="170" fontId="61" fillId="34" borderId="0" xfId="0" applyNumberFormat="1" applyFont="1" applyFill="1" applyBorder="1" applyAlignment="1">
      <alignment horizontal="right" vertical="center"/>
    </xf>
    <xf numFmtId="170" fontId="61" fillId="34" borderId="23" xfId="0" applyNumberFormat="1" applyFont="1" applyFill="1" applyBorder="1" applyAlignment="1">
      <alignment horizontal="right" vertical="center"/>
    </xf>
    <xf numFmtId="170" fontId="60" fillId="59" borderId="0" xfId="21" applyNumberFormat="1" applyFont="1" applyFill="1" applyBorder="1" applyAlignment="1">
      <alignment horizontal="right"/>
    </xf>
    <xf numFmtId="172" fontId="61" fillId="34" borderId="23" xfId="20" applyNumberFormat="1" applyFont="1" applyFill="1" applyBorder="1" applyAlignment="1">
      <alignment horizontal="right" vertical="center"/>
    </xf>
    <xf numFmtId="172" fontId="61" fillId="59" borderId="0" xfId="20" applyNumberFormat="1" applyFont="1" applyFill="1" applyBorder="1" applyAlignment="1">
      <alignment horizontal="right" vertical="center"/>
    </xf>
    <xf numFmtId="172" fontId="61" fillId="59" borderId="23" xfId="20" applyNumberFormat="1" applyFont="1" applyFill="1" applyBorder="1" applyAlignment="1">
      <alignment horizontal="right" vertical="center"/>
    </xf>
    <xf numFmtId="3" fontId="60" fillId="34" borderId="34" xfId="21" applyNumberFormat="1" applyFont="1" applyFill="1" applyBorder="1" applyAlignment="1">
      <alignment horizontal="right"/>
    </xf>
    <xf numFmtId="3" fontId="61" fillId="62" borderId="22" xfId="0" applyNumberFormat="1" applyFont="1" applyFill="1" applyBorder="1" applyAlignment="1">
      <alignment horizontal="right"/>
    </xf>
    <xf numFmtId="3" fontId="61" fillId="62" borderId="0" xfId="0" applyNumberFormat="1" applyFont="1" applyFill="1" applyBorder="1" applyAlignment="1">
      <alignment horizontal="right"/>
    </xf>
    <xf numFmtId="3" fontId="61" fillId="34" borderId="34" xfId="0" applyNumberFormat="1" applyFont="1" applyFill="1" applyBorder="1" applyAlignment="1">
      <alignment horizontal="right"/>
    </xf>
    <xf numFmtId="3" fontId="61" fillId="34" borderId="35" xfId="0" applyNumberFormat="1" applyFont="1" applyFill="1" applyBorder="1" applyAlignment="1">
      <alignment horizontal="right"/>
    </xf>
    <xf numFmtId="0" fontId="60" fillId="62" borderId="0" xfId="0" applyFont="1" applyFill="1" applyAlignment="1">
      <alignment horizontal="left"/>
    </xf>
    <xf numFmtId="0" fontId="69" fillId="63" borderId="0" xfId="0" applyFont="1" applyFill="1" applyProtection="1">
      <protection locked="0"/>
    </xf>
    <xf numFmtId="0" fontId="69" fillId="2" borderId="0" xfId="0" applyFont="1" applyFill="1" applyProtection="1">
      <protection locked="0"/>
    </xf>
    <xf numFmtId="0" fontId="69" fillId="62" borderId="0" xfId="0" applyFont="1" applyFill="1"/>
    <xf numFmtId="0" fontId="69" fillId="2" borderId="0" xfId="0" applyFont="1" applyFill="1"/>
    <xf numFmtId="0" fontId="67" fillId="62" borderId="28" xfId="0" applyFont="1" applyFill="1" applyBorder="1" applyAlignment="1">
      <alignment horizontal="left" vertical="center"/>
    </xf>
    <xf numFmtId="0" fontId="61" fillId="62" borderId="0" xfId="0" applyFont="1" applyFill="1" applyAlignment="1">
      <alignment horizontal="right"/>
    </xf>
    <xf numFmtId="0" fontId="65" fillId="62" borderId="0" xfId="0" applyFont="1" applyFill="1" applyAlignment="1">
      <alignment horizontal="right"/>
    </xf>
    <xf numFmtId="172" fontId="80" fillId="34" borderId="0" xfId="24" applyNumberFormat="1" applyFont="1" applyFill="1" applyBorder="1" applyAlignment="1">
      <alignment horizontal="right"/>
    </xf>
    <xf numFmtId="0" fontId="67" fillId="62" borderId="22" xfId="0" applyFont="1" applyFill="1" applyBorder="1" applyAlignment="1">
      <alignment horizontal="left" vertical="center"/>
    </xf>
    <xf numFmtId="0" fontId="69" fillId="62" borderId="22" xfId="0" applyFont="1" applyFill="1" applyBorder="1"/>
    <xf numFmtId="0" fontId="67" fillId="62" borderId="34" xfId="0" applyFont="1" applyFill="1" applyBorder="1" applyAlignment="1">
      <alignment horizontal="left" vertical="center"/>
    </xf>
    <xf numFmtId="172" fontId="61" fillId="59" borderId="35" xfId="24" applyNumberFormat="1" applyFont="1" applyFill="1" applyBorder="1" applyAlignment="1">
      <alignment horizontal="right"/>
    </xf>
    <xf numFmtId="10" fontId="61" fillId="62" borderId="0" xfId="24" applyNumberFormat="1" applyFont="1" applyFill="1" applyBorder="1" applyAlignment="1">
      <alignment horizontal="right" vertical="center"/>
    </xf>
    <xf numFmtId="172" fontId="61" fillId="62" borderId="0" xfId="0" applyNumberFormat="1" applyFont="1" applyFill="1" applyBorder="1"/>
    <xf numFmtId="10" fontId="61" fillId="62" borderId="0" xfId="0" applyNumberFormat="1" applyFont="1" applyFill="1" applyBorder="1" applyAlignment="1">
      <alignment horizontal="right" vertical="center"/>
    </xf>
    <xf numFmtId="0" fontId="63" fillId="63" borderId="0" xfId="0" applyFont="1" applyFill="1" applyProtection="1">
      <protection locked="0"/>
    </xf>
    <xf numFmtId="0" fontId="64" fillId="2" borderId="0" xfId="0" applyFont="1" applyFill="1" applyProtection="1">
      <protection locked="0"/>
    </xf>
    <xf numFmtId="49" fontId="76" fillId="34" borderId="0" xfId="0" applyNumberFormat="1" applyFont="1" applyFill="1"/>
    <xf numFmtId="49" fontId="77" fillId="34" borderId="0" xfId="0" applyNumberFormat="1" applyFont="1" applyFill="1"/>
    <xf numFmtId="49" fontId="77" fillId="34" borderId="0" xfId="0" applyNumberFormat="1" applyFont="1" applyFill="1" applyAlignment="1">
      <alignment horizontal="right"/>
    </xf>
    <xf numFmtId="0" fontId="65" fillId="61" borderId="31" xfId="0" applyFont="1" applyFill="1" applyBorder="1" applyAlignment="1">
      <alignment horizontal="left" vertical="top" wrapText="1"/>
    </xf>
    <xf numFmtId="0" fontId="65" fillId="61" borderId="31" xfId="0" applyFont="1" applyFill="1" applyBorder="1" applyAlignment="1">
      <alignment horizontal="right" vertical="top" wrapText="1"/>
    </xf>
    <xf numFmtId="0" fontId="66" fillId="62" borderId="28" xfId="0" applyFont="1" applyFill="1" applyBorder="1" applyAlignment="1">
      <alignment vertical="top" wrapText="1"/>
    </xf>
    <xf numFmtId="0" fontId="66" fillId="62" borderId="32" xfId="0" applyFont="1" applyFill="1" applyBorder="1" applyAlignment="1">
      <alignment vertical="top" wrapText="1"/>
    </xf>
    <xf numFmtId="0" fontId="66" fillId="62" borderId="29" xfId="0" applyFont="1" applyFill="1" applyBorder="1" applyAlignment="1">
      <alignment vertical="top" wrapText="1"/>
    </xf>
    <xf numFmtId="0" fontId="60" fillId="59" borderId="33" xfId="0" applyFont="1" applyFill="1" applyBorder="1" applyAlignment="1">
      <alignment vertical="top" wrapText="1"/>
    </xf>
    <xf numFmtId="10" fontId="60" fillId="59" borderId="22" xfId="0" applyNumberFormat="1" applyFont="1" applyFill="1" applyBorder="1" applyAlignment="1">
      <alignment vertical="top" wrapText="1"/>
    </xf>
    <xf numFmtId="10" fontId="60" fillId="59" borderId="0" xfId="0" applyNumberFormat="1" applyFont="1" applyFill="1" applyBorder="1" applyAlignment="1">
      <alignment vertical="top" wrapText="1"/>
    </xf>
    <xf numFmtId="10" fontId="60" fillId="59" borderId="23" xfId="0" applyNumberFormat="1" applyFont="1" applyFill="1" applyBorder="1" applyAlignment="1">
      <alignment vertical="top" wrapText="1"/>
    </xf>
    <xf numFmtId="0" fontId="60" fillId="34" borderId="33" xfId="0" applyFont="1" applyFill="1" applyBorder="1" applyAlignment="1">
      <alignment vertical="top" wrapText="1"/>
    </xf>
    <xf numFmtId="10" fontId="60" fillId="34" borderId="22" xfId="0" applyNumberFormat="1" applyFont="1" applyFill="1" applyBorder="1" applyAlignment="1">
      <alignment vertical="top" wrapText="1"/>
    </xf>
    <xf numFmtId="10" fontId="60" fillId="34" borderId="0"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2" xfId="0" applyFont="1" applyFill="1" applyBorder="1" applyAlignment="1">
      <alignment vertical="top" wrapText="1"/>
    </xf>
    <xf numFmtId="0" fontId="66" fillId="62" borderId="0" xfId="0" applyFont="1" applyFill="1" applyBorder="1" applyAlignment="1">
      <alignment vertical="top" wrapText="1"/>
    </xf>
    <xf numFmtId="10" fontId="60" fillId="60" borderId="0" xfId="0" applyNumberFormat="1" applyFont="1" applyFill="1" applyBorder="1"/>
    <xf numFmtId="10" fontId="60" fillId="60" borderId="23" xfId="0" applyNumberFormat="1" applyFont="1" applyFill="1" applyBorder="1"/>
    <xf numFmtId="0" fontId="65" fillId="62" borderId="24" xfId="0" applyFont="1" applyFill="1" applyBorder="1"/>
    <xf numFmtId="0" fontId="65" fillId="61" borderId="30" xfId="0" applyFont="1" applyFill="1" applyBorder="1"/>
    <xf numFmtId="0" fontId="63" fillId="59" borderId="0" xfId="0" applyFont="1" applyFill="1" applyProtection="1">
      <protection locked="0"/>
    </xf>
    <xf numFmtId="0" fontId="69" fillId="59" borderId="0" xfId="0" applyFont="1" applyFill="1" applyProtection="1">
      <protection locked="0"/>
    </xf>
    <xf numFmtId="172" fontId="61" fillId="59" borderId="0" xfId="0" applyNumberFormat="1" applyFont="1" applyFill="1" applyBorder="1" applyAlignment="1">
      <alignment horizontal="right"/>
    </xf>
    <xf numFmtId="172" fontId="61" fillId="59" borderId="23" xfId="0" applyNumberFormat="1" applyFont="1" applyFill="1" applyBorder="1" applyAlignment="1">
      <alignment horizontal="right"/>
    </xf>
    <xf numFmtId="172" fontId="61" fillId="59" borderId="35" xfId="0" applyNumberFormat="1" applyFont="1" applyFill="1" applyBorder="1" applyAlignment="1">
      <alignment horizontal="right"/>
    </xf>
    <xf numFmtId="172" fontId="61" fillId="59" borderId="27" xfId="0" applyNumberFormat="1" applyFont="1" applyFill="1" applyBorder="1" applyAlignment="1">
      <alignment horizontal="right"/>
    </xf>
    <xf numFmtId="0" fontId="60" fillId="0" borderId="0" xfId="0" applyFont="1"/>
    <xf numFmtId="0" fontId="64" fillId="62" borderId="30" xfId="0" applyFont="1" applyFill="1" applyBorder="1" applyAlignment="1">
      <alignment horizontal="left"/>
    </xf>
    <xf numFmtId="172" fontId="61" fillId="34" borderId="24" xfId="20" applyNumberFormat="1" applyFont="1" applyFill="1" applyBorder="1" applyAlignment="1">
      <alignment horizontal="right" vertical="center"/>
    </xf>
    <xf numFmtId="172" fontId="61" fillId="34" borderId="25" xfId="20" applyNumberFormat="1" applyFont="1" applyFill="1" applyBorder="1" applyAlignment="1">
      <alignment horizontal="right" vertical="center"/>
    </xf>
    <xf numFmtId="172" fontId="60" fillId="59" borderId="25" xfId="0" applyNumberFormat="1" applyFont="1" applyFill="1" applyBorder="1" applyAlignment="1">
      <alignment horizontal="right" vertical="center" wrapText="1"/>
    </xf>
    <xf numFmtId="0" fontId="65" fillId="61" borderId="30" xfId="0" applyFont="1" applyFill="1" applyBorder="1" applyAlignment="1">
      <alignment horizontal="left"/>
    </xf>
    <xf numFmtId="172" fontId="60" fillId="59" borderId="26" xfId="0" applyNumberFormat="1" applyFont="1" applyFill="1" applyBorder="1" applyAlignment="1">
      <alignment horizontal="right" vertical="center" wrapText="1"/>
    </xf>
    <xf numFmtId="0" fontId="65" fillId="61" borderId="31" xfId="0" applyFont="1" applyFill="1" applyBorder="1" applyAlignment="1">
      <alignment horizontal="left"/>
    </xf>
    <xf numFmtId="3" fontId="60" fillId="2" borderId="32" xfId="0" applyNumberFormat="1" applyFont="1" applyFill="1" applyBorder="1" applyAlignment="1">
      <alignment horizontal="right"/>
    </xf>
    <xf numFmtId="3" fontId="60" fillId="2" borderId="22" xfId="0" applyNumberFormat="1" applyFont="1" applyFill="1" applyBorder="1" applyAlignment="1">
      <alignment horizontal="right"/>
    </xf>
    <xf numFmtId="9" fontId="60" fillId="62" borderId="22" xfId="0" applyNumberFormat="1" applyFont="1" applyFill="1" applyBorder="1" applyAlignment="1">
      <alignment horizontal="right"/>
    </xf>
    <xf numFmtId="172" fontId="60" fillId="62" borderId="22" xfId="0" applyNumberFormat="1" applyFont="1" applyFill="1" applyBorder="1" applyAlignment="1">
      <alignment horizontal="right"/>
    </xf>
    <xf numFmtId="9" fontId="60" fillId="2" borderId="22" xfId="24" applyFont="1" applyFill="1" applyBorder="1" applyAlignment="1">
      <alignment horizontal="right"/>
    </xf>
    <xf numFmtId="9" fontId="60" fillId="2" borderId="0" xfId="24" applyFont="1" applyFill="1" applyBorder="1" applyAlignment="1">
      <alignment horizontal="right"/>
    </xf>
    <xf numFmtId="9" fontId="60" fillId="62" borderId="22" xfId="24" applyFont="1" applyFill="1" applyBorder="1" applyAlignment="1">
      <alignment horizontal="right"/>
    </xf>
    <xf numFmtId="9" fontId="60" fillId="62" borderId="0" xfId="24" applyFont="1" applyFill="1" applyBorder="1" applyAlignment="1">
      <alignment horizontal="right"/>
    </xf>
    <xf numFmtId="10" fontId="66" fillId="60" borderId="22" xfId="24" applyNumberFormat="1" applyFont="1" applyFill="1" applyBorder="1" applyAlignment="1">
      <alignment horizontal="right"/>
    </xf>
    <xf numFmtId="10" fontId="66" fillId="60" borderId="0" xfId="24" applyNumberFormat="1" applyFont="1" applyFill="1" applyBorder="1" applyAlignment="1">
      <alignment horizontal="right"/>
    </xf>
    <xf numFmtId="172" fontId="60" fillId="59" borderId="26" xfId="24" applyNumberFormat="1" applyFont="1" applyFill="1" applyBorder="1" applyAlignment="1">
      <alignment horizontal="right"/>
    </xf>
    <xf numFmtId="3" fontId="60" fillId="34" borderId="24" xfId="0" applyNumberFormat="1" applyFont="1" applyFill="1" applyBorder="1"/>
    <xf numFmtId="0" fontId="66" fillId="62" borderId="24" xfId="0" applyFont="1" applyFill="1" applyBorder="1"/>
    <xf numFmtId="0" fontId="66" fillId="62" borderId="28" xfId="0" applyFont="1" applyFill="1" applyBorder="1"/>
    <xf numFmtId="0" fontId="66" fillId="62" borderId="22" xfId="0" applyFont="1" applyFill="1" applyBorder="1"/>
    <xf numFmtId="170" fontId="60" fillId="34" borderId="25" xfId="0" applyNumberFormat="1" applyFont="1" applyFill="1" applyBorder="1"/>
    <xf numFmtId="170" fontId="60" fillId="59" borderId="0" xfId="0" applyNumberFormat="1" applyFont="1" applyFill="1" applyBorder="1"/>
    <xf numFmtId="0" fontId="60" fillId="2" borderId="0" xfId="0" applyFont="1" applyFill="1" applyBorder="1"/>
    <xf numFmtId="174" fontId="60" fillId="62" borderId="0" xfId="20" applyNumberFormat="1" applyFont="1" applyFill="1" applyBorder="1" applyAlignment="1">
      <alignment horizontal="right"/>
    </xf>
    <xf numFmtId="172" fontId="60" fillId="2" borderId="23" xfId="24" applyNumberFormat="1" applyFont="1" applyFill="1" applyBorder="1" applyAlignment="1">
      <alignment horizontal="right"/>
    </xf>
    <xf numFmtId="172" fontId="60" fillId="2" borderId="0" xfId="24" applyNumberFormat="1" applyFont="1" applyFill="1" applyBorder="1" applyAlignment="1">
      <alignment horizontal="right"/>
    </xf>
    <xf numFmtId="165" fontId="69" fillId="62" borderId="0" xfId="0" applyNumberFormat="1" applyFont="1" applyFill="1" applyBorder="1"/>
    <xf numFmtId="165" fontId="69" fillId="34" borderId="32" xfId="0" applyNumberFormat="1" applyFont="1" applyFill="1" applyBorder="1" applyAlignment="1">
      <alignment horizontal="right"/>
    </xf>
    <xf numFmtId="165" fontId="69" fillId="34" borderId="0" xfId="0" applyNumberFormat="1" applyFont="1" applyFill="1" applyBorder="1" applyAlignment="1">
      <alignment horizontal="right"/>
    </xf>
    <xf numFmtId="173" fontId="84" fillId="34" borderId="23" xfId="0" applyNumberFormat="1" applyFont="1" applyFill="1" applyBorder="1"/>
    <xf numFmtId="1" fontId="80" fillId="34" borderId="0" xfId="0" applyNumberFormat="1" applyFont="1" applyFill="1" applyBorder="1"/>
    <xf numFmtId="1" fontId="80" fillId="34" borderId="22" xfId="0" applyNumberFormat="1" applyFont="1" applyFill="1" applyBorder="1"/>
    <xf numFmtId="173" fontId="84" fillId="34" borderId="22" xfId="0" applyNumberFormat="1" applyFont="1" applyFill="1" applyBorder="1"/>
    <xf numFmtId="173" fontId="84" fillId="34" borderId="0" xfId="0" applyNumberFormat="1" applyFont="1" applyFill="1" applyBorder="1"/>
    <xf numFmtId="173" fontId="80" fillId="34" borderId="22" xfId="0" applyNumberFormat="1" applyFont="1" applyFill="1" applyBorder="1"/>
    <xf numFmtId="173" fontId="80" fillId="34" borderId="0" xfId="0" applyNumberFormat="1" applyFont="1" applyFill="1" applyBorder="1"/>
    <xf numFmtId="173" fontId="80" fillId="34" borderId="23" xfId="0" applyNumberFormat="1" applyFont="1" applyFill="1" applyBorder="1"/>
    <xf numFmtId="0" fontId="65" fillId="62" borderId="0" xfId="0" applyFont="1" applyFill="1" applyBorder="1" applyAlignment="1">
      <alignment horizontal="left" vertical="center"/>
    </xf>
    <xf numFmtId="165" fontId="64" fillId="62" borderId="0" xfId="0" applyNumberFormat="1" applyFont="1" applyFill="1" applyBorder="1"/>
    <xf numFmtId="0" fontId="69" fillId="62" borderId="0" xfId="0" applyFont="1" applyFill="1" applyBorder="1"/>
    <xf numFmtId="0" fontId="67" fillId="62" borderId="0" xfId="0" applyFont="1" applyFill="1" applyBorder="1" applyAlignment="1">
      <alignment horizontal="left" vertical="center"/>
    </xf>
    <xf numFmtId="9" fontId="64" fillId="62" borderId="0" xfId="26" applyFont="1" applyFill="1" applyBorder="1"/>
    <xf numFmtId="165" fontId="64" fillId="62" borderId="0" xfId="26" applyNumberFormat="1" applyFont="1" applyFill="1" applyBorder="1"/>
    <xf numFmtId="10" fontId="64" fillId="62" borderId="0" xfId="26" applyNumberFormat="1" applyFont="1" applyFill="1" applyBorder="1"/>
    <xf numFmtId="168" fontId="69" fillId="62" borderId="0" xfId="0" applyNumberFormat="1" applyFont="1" applyFill="1" applyBorder="1"/>
    <xf numFmtId="177" fontId="64" fillId="59" borderId="0" xfId="0" applyNumberFormat="1" applyFont="1" applyFill="1" applyBorder="1" applyAlignment="1">
      <alignment horizontal="right"/>
    </xf>
    <xf numFmtId="177" fontId="64" fillId="59" borderId="23" xfId="0" applyNumberFormat="1" applyFont="1" applyFill="1" applyBorder="1" applyAlignment="1">
      <alignment horizontal="right"/>
    </xf>
    <xf numFmtId="177" fontId="67" fillId="59" borderId="35" xfId="0" applyNumberFormat="1" applyFont="1" applyFill="1" applyBorder="1" applyAlignment="1">
      <alignment horizontal="right"/>
    </xf>
    <xf numFmtId="177" fontId="67" fillId="59" borderId="27" xfId="0" applyNumberFormat="1" applyFont="1" applyFill="1" applyBorder="1" applyAlignment="1">
      <alignment horizontal="right"/>
    </xf>
    <xf numFmtId="177" fontId="85" fillId="59" borderId="0" xfId="0" applyNumberFormat="1" applyFont="1" applyFill="1" applyBorder="1" applyAlignment="1">
      <alignment horizontal="right"/>
    </xf>
    <xf numFmtId="177" fontId="85" fillId="59" borderId="23" xfId="0" applyNumberFormat="1" applyFont="1" applyFill="1" applyBorder="1" applyAlignment="1">
      <alignment horizontal="right"/>
    </xf>
    <xf numFmtId="173" fontId="84" fillId="59" borderId="0" xfId="0" applyNumberFormat="1" applyFont="1" applyFill="1" applyBorder="1"/>
    <xf numFmtId="173" fontId="84" fillId="59" borderId="23" xfId="0" applyNumberFormat="1" applyFont="1" applyFill="1" applyBorder="1"/>
    <xf numFmtId="173" fontId="80" fillId="59" borderId="0" xfId="0" applyNumberFormat="1" applyFont="1" applyFill="1" applyBorder="1"/>
    <xf numFmtId="173" fontId="84" fillId="59" borderId="32" xfId="0" applyNumberFormat="1" applyFont="1" applyFill="1" applyBorder="1"/>
    <xf numFmtId="173" fontId="84" fillId="59" borderId="29" xfId="0" applyNumberFormat="1" applyFont="1" applyFill="1" applyBorder="1"/>
    <xf numFmtId="0" fontId="79" fillId="62" borderId="34" xfId="0" applyFont="1" applyFill="1" applyBorder="1" applyAlignment="1">
      <alignment horizontal="left" indent="4"/>
    </xf>
    <xf numFmtId="1" fontId="80" fillId="34" borderId="35" xfId="0" applyNumberFormat="1" applyFont="1" applyFill="1" applyBorder="1"/>
    <xf numFmtId="1" fontId="80" fillId="34" borderId="27" xfId="0" applyNumberFormat="1" applyFont="1" applyFill="1" applyBorder="1"/>
    <xf numFmtId="1" fontId="80" fillId="34" borderId="34" xfId="0" applyNumberFormat="1" applyFont="1" applyFill="1" applyBorder="1"/>
    <xf numFmtId="173" fontId="84" fillId="59" borderId="35" xfId="0" applyNumberFormat="1" applyFont="1" applyFill="1" applyBorder="1"/>
    <xf numFmtId="173" fontId="84" fillId="59" borderId="27" xfId="0" applyNumberFormat="1" applyFont="1" applyFill="1" applyBorder="1"/>
    <xf numFmtId="0" fontId="60" fillId="62" borderId="0" xfId="0" applyFont="1" applyFill="1" applyBorder="1" applyAlignment="1">
      <alignment vertical="top" wrapText="1"/>
    </xf>
    <xf numFmtId="3" fontId="60" fillId="34" borderId="25" xfId="0" applyNumberFormat="1" applyFont="1" applyFill="1" applyBorder="1"/>
    <xf numFmtId="0" fontId="67" fillId="2" borderId="24" xfId="0" applyFont="1" applyFill="1" applyBorder="1" applyAlignment="1">
      <alignment horizontal="left" wrapText="1"/>
    </xf>
    <xf numFmtId="172" fontId="61" fillId="34" borderId="0" xfId="0" applyNumberFormat="1" applyFont="1" applyFill="1" applyBorder="1" applyAlignment="1">
      <alignment horizontal="right" indent="1"/>
    </xf>
    <xf numFmtId="172" fontId="61" fillId="62" borderId="0" xfId="0" applyNumberFormat="1" applyFont="1" applyFill="1" applyBorder="1" applyAlignment="1">
      <alignment horizontal="right" indent="1"/>
    </xf>
    <xf numFmtId="0" fontId="67" fillId="62" borderId="31" xfId="0" applyFont="1" applyFill="1" applyBorder="1" applyAlignment="1">
      <alignment horizontal="left" wrapText="1"/>
    </xf>
    <xf numFmtId="0" fontId="67" fillId="62" borderId="33" xfId="0" applyFont="1" applyFill="1" applyBorder="1" applyAlignment="1">
      <alignment horizontal="left"/>
    </xf>
    <xf numFmtId="0" fontId="64" fillId="62" borderId="33" xfId="0" applyFont="1" applyFill="1" applyBorder="1" applyAlignment="1">
      <alignment horizontal="left"/>
    </xf>
    <xf numFmtId="0" fontId="79" fillId="62" borderId="33" xfId="0" applyFont="1" applyFill="1" applyBorder="1" applyAlignment="1">
      <alignment horizontal="left"/>
    </xf>
    <xf numFmtId="0" fontId="61" fillId="62" borderId="0" xfId="0" applyFont="1" applyFill="1" applyBorder="1" applyAlignment="1">
      <alignment horizontal="left" vertical="top"/>
    </xf>
    <xf numFmtId="172" fontId="87" fillId="34" borderId="0" xfId="24" applyNumberFormat="1" applyFont="1" applyFill="1" applyBorder="1" applyAlignment="1">
      <alignment horizontal="right"/>
    </xf>
    <xf numFmtId="3" fontId="60" fillId="59" borderId="32" xfId="0" applyNumberFormat="1" applyFont="1" applyFill="1" applyBorder="1" applyAlignment="1">
      <alignment vertical="center"/>
    </xf>
    <xf numFmtId="3" fontId="60" fillId="59" borderId="29" xfId="0" applyNumberFormat="1" applyFont="1" applyFill="1" applyBorder="1" applyAlignment="1">
      <alignment vertical="center"/>
    </xf>
    <xf numFmtId="3" fontId="60" fillId="59" borderId="0" xfId="0" applyNumberFormat="1" applyFont="1" applyFill="1" applyBorder="1" applyAlignment="1">
      <alignment vertical="center"/>
    </xf>
    <xf numFmtId="3" fontId="60" fillId="59" borderId="23" xfId="0" applyNumberFormat="1" applyFont="1" applyFill="1" applyBorder="1" applyAlignment="1">
      <alignment vertical="center"/>
    </xf>
    <xf numFmtId="3" fontId="60" fillId="59" borderId="32" xfId="0" applyNumberFormat="1" applyFont="1" applyFill="1" applyBorder="1" applyAlignment="1">
      <alignment horizontal="right"/>
    </xf>
    <xf numFmtId="3" fontId="60" fillId="59" borderId="29" xfId="0" applyNumberFormat="1" applyFont="1" applyFill="1" applyBorder="1" applyAlignment="1">
      <alignment horizontal="right"/>
    </xf>
    <xf numFmtId="3" fontId="65" fillId="61" borderId="26" xfId="0" applyNumberFormat="1" applyFont="1" applyFill="1" applyBorder="1" applyAlignment="1">
      <alignment horizontal="right"/>
    </xf>
    <xf numFmtId="3" fontId="65" fillId="61" borderId="25" xfId="0" applyNumberFormat="1" applyFont="1" applyFill="1" applyBorder="1" applyAlignment="1">
      <alignment horizontal="right"/>
    </xf>
    <xf numFmtId="0" fontId="65" fillId="61" borderId="26" xfId="0" applyFont="1" applyFill="1" applyBorder="1" applyAlignment="1">
      <alignment horizontal="right" vertical="center"/>
    </xf>
    <xf numFmtId="0" fontId="65" fillId="61" borderId="24" xfId="0" applyFont="1" applyFill="1" applyBorder="1" applyAlignment="1">
      <alignment horizontal="right" vertical="center"/>
    </xf>
    <xf numFmtId="3" fontId="65" fillId="61" borderId="24" xfId="0" applyNumberFormat="1" applyFont="1" applyFill="1" applyBorder="1" applyAlignment="1">
      <alignment horizontal="right"/>
    </xf>
    <xf numFmtId="177" fontId="67" fillId="59" borderId="0" xfId="0" applyNumberFormat="1" applyFont="1" applyFill="1" applyBorder="1" applyAlignment="1">
      <alignment horizontal="right"/>
    </xf>
    <xf numFmtId="177" fontId="67" fillId="59" borderId="23" xfId="0" applyNumberFormat="1" applyFont="1" applyFill="1" applyBorder="1" applyAlignment="1">
      <alignment horizontal="right"/>
    </xf>
    <xf numFmtId="0" fontId="69" fillId="62" borderId="23" xfId="0" applyFont="1" applyFill="1" applyBorder="1"/>
    <xf numFmtId="177" fontId="85" fillId="59" borderId="32" xfId="0" applyNumberFormat="1" applyFont="1" applyFill="1" applyBorder="1" applyAlignment="1">
      <alignment horizontal="right"/>
    </xf>
    <xf numFmtId="177" fontId="85" fillId="59" borderId="29" xfId="0" applyNumberFormat="1" applyFont="1" applyFill="1" applyBorder="1" applyAlignment="1">
      <alignment horizontal="right"/>
    </xf>
    <xf numFmtId="0" fontId="65" fillId="62" borderId="22" xfId="0" applyFont="1" applyFill="1" applyBorder="1" applyAlignment="1">
      <alignment horizontal="left" vertical="center"/>
    </xf>
    <xf numFmtId="0" fontId="61" fillId="62" borderId="28" xfId="0" applyFont="1" applyFill="1" applyBorder="1" applyAlignment="1">
      <alignment horizontal="left" vertical="center" indent="1"/>
    </xf>
    <xf numFmtId="0" fontId="61" fillId="62" borderId="22" xfId="0" applyFont="1" applyFill="1" applyBorder="1" applyAlignment="1">
      <alignment horizontal="left" vertical="center" indent="1"/>
    </xf>
    <xf numFmtId="0" fontId="80" fillId="62" borderId="22" xfId="0" applyFont="1" applyFill="1" applyBorder="1" applyAlignment="1">
      <alignment horizontal="left" vertical="center" indent="3"/>
    </xf>
    <xf numFmtId="177" fontId="67" fillId="34" borderId="22" xfId="0" applyNumberFormat="1" applyFont="1" applyFill="1" applyBorder="1" applyAlignment="1">
      <alignment horizontal="right"/>
    </xf>
    <xf numFmtId="177" fontId="67" fillId="34" borderId="0" xfId="0" applyNumberFormat="1" applyFont="1" applyFill="1" applyBorder="1" applyAlignment="1">
      <alignment horizontal="right"/>
    </xf>
    <xf numFmtId="0" fontId="79" fillId="62" borderId="22" xfId="0" applyFont="1" applyFill="1" applyBorder="1" applyAlignment="1">
      <alignment horizontal="left" indent="4"/>
    </xf>
    <xf numFmtId="1" fontId="80" fillId="34" borderId="23" xfId="0" applyNumberFormat="1" applyFont="1" applyFill="1" applyBorder="1"/>
    <xf numFmtId="0" fontId="80" fillId="62" borderId="22" xfId="0" applyFont="1" applyFill="1" applyBorder="1" applyAlignment="1">
      <alignment horizontal="left" indent="4"/>
    </xf>
    <xf numFmtId="0" fontId="61" fillId="62" borderId="22" xfId="0" applyFont="1" applyFill="1" applyBorder="1" applyAlignment="1">
      <alignment horizontal="left" indent="1"/>
    </xf>
    <xf numFmtId="0" fontId="80" fillId="62" borderId="28" xfId="0" applyFont="1" applyFill="1" applyBorder="1" applyAlignment="1">
      <alignment horizontal="left" indent="4"/>
    </xf>
    <xf numFmtId="172" fontId="61" fillId="59" borderId="22" xfId="0" applyNumberFormat="1" applyFont="1" applyFill="1" applyBorder="1" applyAlignment="1">
      <alignment horizontal="right"/>
    </xf>
    <xf numFmtId="172" fontId="61" fillId="59" borderId="34" xfId="0" applyNumberFormat="1" applyFont="1" applyFill="1" applyBorder="1" applyAlignment="1">
      <alignment horizontal="right"/>
    </xf>
    <xf numFmtId="0" fontId="65" fillId="61" borderId="28" xfId="0" applyFont="1" applyFill="1" applyBorder="1" applyAlignment="1" applyProtection="1">
      <alignment horizontal="left"/>
      <protection locked="0"/>
    </xf>
    <xf numFmtId="172" fontId="60" fillId="34" borderId="23" xfId="0" applyNumberFormat="1" applyFont="1" applyFill="1" applyBorder="1" applyAlignment="1">
      <alignment horizontal="right" vertical="center" wrapText="1"/>
    </xf>
    <xf numFmtId="172" fontId="61" fillId="34" borderId="26" xfId="20" applyNumberFormat="1" applyFont="1" applyFill="1" applyBorder="1" applyAlignment="1">
      <alignment horizontal="right" vertical="center"/>
    </xf>
    <xf numFmtId="0" fontId="64" fillId="62" borderId="24" xfId="0" applyFont="1" applyFill="1" applyBorder="1" applyAlignment="1">
      <alignment horizontal="left"/>
    </xf>
    <xf numFmtId="172" fontId="61" fillId="34" borderId="0" xfId="24" applyNumberFormat="1" applyFont="1" applyFill="1" applyBorder="1" applyAlignment="1">
      <alignment horizontal="right" vertical="center"/>
    </xf>
    <xf numFmtId="172" fontId="61" fillId="59" borderId="0" xfId="24" applyNumberFormat="1" applyFont="1" applyFill="1" applyBorder="1" applyAlignment="1">
      <alignment horizontal="right" vertical="center"/>
    </xf>
    <xf numFmtId="0" fontId="64" fillId="62" borderId="33" xfId="0" applyFont="1" applyFill="1" applyBorder="1" applyAlignment="1">
      <alignment horizontal="left" indent="1"/>
    </xf>
    <xf numFmtId="3" fontId="61" fillId="2" borderId="32"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22"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9" fontId="61" fillId="62" borderId="22" xfId="0" applyNumberFormat="1" applyFont="1" applyFill="1" applyBorder="1" applyAlignment="1">
      <alignment horizontal="right"/>
    </xf>
    <xf numFmtId="9" fontId="61" fillId="62" borderId="0" xfId="0" applyNumberFormat="1" applyFont="1" applyFill="1" applyBorder="1"/>
    <xf numFmtId="9" fontId="61" fillId="2" borderId="22" xfId="24" applyFont="1" applyFill="1" applyBorder="1" applyAlignment="1">
      <alignment vertical="center" wrapText="1"/>
    </xf>
    <xf numFmtId="9" fontId="61" fillId="2" borderId="0" xfId="24" applyFont="1" applyFill="1" applyBorder="1" applyAlignment="1">
      <alignment vertical="center" wrapText="1"/>
    </xf>
    <xf numFmtId="172" fontId="61" fillId="2" borderId="22" xfId="24" applyNumberFormat="1" applyFont="1" applyFill="1" applyBorder="1" applyAlignment="1">
      <alignment vertical="center" wrapText="1"/>
    </xf>
    <xf numFmtId="172" fontId="61" fillId="2" borderId="0" xfId="24" applyNumberFormat="1" applyFont="1" applyFill="1" applyBorder="1" applyAlignment="1">
      <alignment vertical="center" wrapText="1"/>
    </xf>
    <xf numFmtId="0" fontId="60" fillId="62" borderId="0" xfId="0" applyFont="1" applyFill="1" applyBorder="1" applyAlignment="1">
      <alignment horizontal="left" vertical="top"/>
    </xf>
    <xf numFmtId="0" fontId="66" fillId="62" borderId="35" xfId="0" applyFont="1" applyFill="1" applyBorder="1"/>
    <xf numFmtId="10" fontId="60" fillId="60" borderId="22" xfId="0" applyNumberFormat="1" applyFont="1" applyFill="1" applyBorder="1"/>
    <xf numFmtId="10" fontId="65" fillId="61" borderId="30" xfId="0" applyNumberFormat="1" applyFont="1" applyFill="1" applyBorder="1"/>
    <xf numFmtId="0" fontId="64" fillId="62" borderId="0" xfId="0" applyFont="1" applyFill="1" applyBorder="1" applyAlignment="1">
      <alignment horizontal="left"/>
    </xf>
    <xf numFmtId="3" fontId="60" fillId="62" borderId="0" xfId="0" applyNumberFormat="1" applyFont="1" applyFill="1" applyBorder="1"/>
    <xf numFmtId="0" fontId="64" fillId="62" borderId="28" xfId="0" applyFont="1" applyFill="1" applyBorder="1" applyAlignment="1">
      <alignment horizontal="left"/>
    </xf>
    <xf numFmtId="0" fontId="86" fillId="62" borderId="22" xfId="0" applyFont="1" applyFill="1" applyBorder="1" applyAlignment="1">
      <alignment horizontal="left"/>
    </xf>
    <xf numFmtId="172" fontId="87" fillId="34" borderId="22" xfId="24" applyNumberFormat="1" applyFont="1" applyFill="1" applyBorder="1" applyAlignment="1">
      <alignment horizontal="right"/>
    </xf>
    <xf numFmtId="0" fontId="61" fillId="62" borderId="22" xfId="0" applyFont="1" applyFill="1" applyBorder="1" applyAlignment="1">
      <alignment vertical="top" wrapText="1"/>
    </xf>
    <xf numFmtId="0" fontId="60" fillId="34" borderId="22" xfId="0" applyFont="1" applyFill="1" applyBorder="1"/>
    <xf numFmtId="0" fontId="60" fillId="34" borderId="0" xfId="0" applyFont="1" applyFill="1" applyBorder="1"/>
    <xf numFmtId="0" fontId="60" fillId="34" borderId="23" xfId="0" applyFont="1" applyFill="1" applyBorder="1"/>
    <xf numFmtId="1" fontId="60" fillId="59" borderId="0" xfId="0" applyNumberFormat="1" applyFont="1" applyFill="1" applyBorder="1"/>
    <xf numFmtId="172" fontId="60" fillId="0" borderId="0" xfId="24" applyNumberFormat="1" applyFont="1"/>
    <xf numFmtId="1" fontId="60" fillId="59" borderId="35" xfId="0" applyNumberFormat="1" applyFont="1" applyFill="1" applyBorder="1"/>
    <xf numFmtId="49" fontId="66" fillId="2" borderId="28" xfId="0" applyNumberFormat="1" applyFont="1" applyFill="1" applyBorder="1" applyAlignment="1">
      <alignment horizontal="left"/>
    </xf>
    <xf numFmtId="49" fontId="66" fillId="2" borderId="34" xfId="0" applyNumberFormat="1" applyFont="1" applyFill="1" applyBorder="1" applyAlignment="1">
      <alignment horizontal="left"/>
    </xf>
    <xf numFmtId="172" fontId="60" fillId="34" borderId="32" xfId="24" applyNumberFormat="1" applyFont="1" applyFill="1" applyBorder="1"/>
    <xf numFmtId="49" fontId="66" fillId="2" borderId="30" xfId="0" applyNumberFormat="1" applyFont="1" applyFill="1" applyBorder="1" applyAlignment="1">
      <alignment horizontal="left"/>
    </xf>
    <xf numFmtId="172" fontId="60" fillId="34" borderId="25" xfId="24" applyNumberFormat="1" applyFont="1" applyFill="1" applyBorder="1"/>
    <xf numFmtId="172" fontId="60" fillId="59" borderId="25" xfId="24" applyNumberFormat="1" applyFont="1" applyFill="1" applyBorder="1" applyAlignment="1">
      <alignment horizontal="right"/>
    </xf>
    <xf numFmtId="172" fontId="60" fillId="59" borderId="32" xfId="24" applyNumberFormat="1" applyFont="1" applyFill="1" applyBorder="1" applyAlignment="1">
      <alignment horizontal="right"/>
    </xf>
    <xf numFmtId="174" fontId="60" fillId="34" borderId="22" xfId="20" applyNumberFormat="1" applyFont="1" applyFill="1" applyBorder="1"/>
    <xf numFmtId="174" fontId="60" fillId="34" borderId="0" xfId="20" applyNumberFormat="1" applyFont="1" applyFill="1" applyBorder="1"/>
    <xf numFmtId="174" fontId="60" fillId="59" borderId="0" xfId="20" applyNumberFormat="1" applyFont="1" applyFill="1" applyBorder="1"/>
    <xf numFmtId="174" fontId="60" fillId="59" borderId="23" xfId="20" applyNumberFormat="1" applyFont="1" applyFill="1" applyBorder="1"/>
    <xf numFmtId="3" fontId="60" fillId="59" borderId="32" xfId="24" applyNumberFormat="1" applyFont="1" applyFill="1" applyBorder="1" applyAlignment="1">
      <alignment horizontal="right" wrapText="1"/>
    </xf>
    <xf numFmtId="3" fontId="60" fillId="59" borderId="29" xfId="24" applyNumberFormat="1" applyFont="1" applyFill="1" applyBorder="1" applyAlignment="1">
      <alignment horizontal="right" wrapText="1"/>
    </xf>
    <xf numFmtId="3" fontId="61" fillId="2" borderId="22" xfId="20" applyNumberFormat="1" applyFont="1" applyFill="1" applyBorder="1" applyAlignment="1">
      <alignment vertical="center" wrapText="1"/>
    </xf>
    <xf numFmtId="0" fontId="60" fillId="2" borderId="31" xfId="0" applyFont="1" applyFill="1" applyBorder="1" applyAlignment="1">
      <alignment horizontal="left" indent="1"/>
    </xf>
    <xf numFmtId="0" fontId="0" fillId="62" borderId="0" xfId="0" applyFill="1"/>
    <xf numFmtId="10" fontId="60" fillId="60" borderId="28" xfId="0" applyNumberFormat="1" applyFont="1" applyFill="1" applyBorder="1"/>
    <xf numFmtId="10" fontId="60" fillId="60" borderId="29" xfId="0" applyNumberFormat="1" applyFont="1" applyFill="1" applyBorder="1"/>
    <xf numFmtId="10" fontId="60" fillId="60" borderId="32" xfId="0" applyNumberFormat="1" applyFont="1" applyFill="1" applyBorder="1"/>
    <xf numFmtId="10" fontId="65" fillId="61" borderId="36" xfId="0" applyNumberFormat="1" applyFont="1" applyFill="1" applyBorder="1"/>
    <xf numFmtId="0" fontId="0" fillId="62" borderId="28" xfId="0" applyFill="1" applyBorder="1" applyAlignment="1">
      <alignment horizontal="center"/>
    </xf>
    <xf numFmtId="0" fontId="0" fillId="62" borderId="29" xfId="0" applyFill="1" applyBorder="1" applyAlignment="1">
      <alignment horizontal="center"/>
    </xf>
    <xf numFmtId="0" fontId="0" fillId="62" borderId="32" xfId="0" applyFill="1" applyBorder="1" applyAlignment="1">
      <alignment horizontal="center"/>
    </xf>
    <xf numFmtId="10" fontId="61" fillId="62" borderId="35" xfId="24" applyNumberFormat="1" applyFont="1" applyFill="1" applyBorder="1" applyAlignment="1">
      <alignment horizontal="right"/>
    </xf>
    <xf numFmtId="10" fontId="61" fillId="62" borderId="27" xfId="24" applyNumberFormat="1" applyFont="1" applyFill="1" applyBorder="1" applyAlignment="1">
      <alignment horizontal="right"/>
    </xf>
    <xf numFmtId="174" fontId="61" fillId="62" borderId="35" xfId="0" applyNumberFormat="1" applyFont="1" applyFill="1" applyBorder="1" applyAlignment="1">
      <alignment horizontal="right"/>
    </xf>
    <xf numFmtId="0" fontId="64" fillId="62" borderId="36" xfId="0" applyFont="1" applyFill="1" applyBorder="1" applyAlignment="1">
      <alignment horizontal="left"/>
    </xf>
    <xf numFmtId="0" fontId="86" fillId="62" borderId="33" xfId="0" applyFont="1" applyFill="1" applyBorder="1" applyAlignment="1">
      <alignment horizontal="left" indent="1"/>
    </xf>
    <xf numFmtId="172" fontId="87" fillId="59" borderId="0" xfId="24" applyNumberFormat="1" applyFont="1" applyFill="1" applyBorder="1"/>
    <xf numFmtId="1" fontId="64" fillId="59" borderId="35" xfId="20" applyNumberFormat="1" applyFont="1" applyFill="1" applyBorder="1" applyAlignment="1">
      <alignment horizontal="right"/>
    </xf>
    <xf numFmtId="1" fontId="64" fillId="59" borderId="27" xfId="20" applyNumberFormat="1" applyFont="1" applyFill="1" applyBorder="1" applyAlignment="1">
      <alignment horizontal="right"/>
    </xf>
    <xf numFmtId="174" fontId="69" fillId="59" borderId="0" xfId="20" applyNumberFormat="1" applyFont="1" applyFill="1" applyBorder="1" applyAlignment="1">
      <alignment horizontal="right"/>
    </xf>
    <xf numFmtId="174" fontId="67" fillId="59" borderId="0" xfId="20" applyNumberFormat="1" applyFont="1" applyFill="1" applyBorder="1" applyAlignment="1">
      <alignment horizontal="right"/>
    </xf>
    <xf numFmtId="0" fontId="61" fillId="62" borderId="23" xfId="0" applyFont="1" applyFill="1" applyBorder="1" applyAlignment="1">
      <alignment horizontal="left" vertical="center" indent="1"/>
    </xf>
    <xf numFmtId="0" fontId="67" fillId="62" borderId="29" xfId="0" applyFont="1" applyFill="1" applyBorder="1" applyAlignment="1">
      <alignment horizontal="left" vertical="center"/>
    </xf>
    <xf numFmtId="9" fontId="64" fillId="62" borderId="32" xfId="26" applyFont="1" applyFill="1" applyBorder="1"/>
    <xf numFmtId="10" fontId="64" fillId="62" borderId="32" xfId="26" applyNumberFormat="1" applyFont="1" applyFill="1" applyBorder="1"/>
    <xf numFmtId="10" fontId="64" fillId="62" borderId="29" xfId="26" applyNumberFormat="1" applyFont="1" applyFill="1" applyBorder="1"/>
    <xf numFmtId="172" fontId="69" fillId="34" borderId="0" xfId="24" applyNumberFormat="1" applyFont="1" applyFill="1" applyBorder="1" applyAlignment="1">
      <alignment horizontal="right"/>
    </xf>
    <xf numFmtId="172" fontId="69" fillId="34" borderId="35" xfId="24" applyNumberFormat="1" applyFont="1" applyFill="1" applyBorder="1" applyAlignment="1">
      <alignment horizontal="right"/>
    </xf>
    <xf numFmtId="0" fontId="61" fillId="62" borderId="0" xfId="0" applyFont="1" applyFill="1" applyBorder="1" applyAlignment="1">
      <alignment vertical="top" wrapText="1"/>
    </xf>
    <xf numFmtId="172" fontId="69" fillId="59" borderId="0" xfId="24" applyNumberFormat="1" applyFont="1" applyFill="1" applyBorder="1" applyAlignment="1">
      <alignment horizontal="right"/>
    </xf>
    <xf numFmtId="172" fontId="61" fillId="59" borderId="0" xfId="24" applyNumberFormat="1" applyFont="1" applyFill="1" applyBorder="1" applyAlignment="1">
      <alignment horizontal="right"/>
    </xf>
    <xf numFmtId="177" fontId="69" fillId="34" borderId="29" xfId="0" applyNumberFormat="1" applyFont="1" applyFill="1" applyBorder="1" applyAlignment="1">
      <alignment horizontal="right"/>
    </xf>
    <xf numFmtId="177" fontId="69" fillId="34" borderId="23" xfId="0" applyNumberFormat="1" applyFont="1" applyFill="1" applyBorder="1" applyAlignment="1">
      <alignment horizontal="right"/>
    </xf>
    <xf numFmtId="177" fontId="69" fillId="59" borderId="32" xfId="0" applyNumberFormat="1" applyFont="1" applyFill="1" applyBorder="1" applyAlignment="1">
      <alignment horizontal="right"/>
    </xf>
    <xf numFmtId="177" fontId="69" fillId="59" borderId="0" xfId="0" applyNumberFormat="1" applyFont="1" applyFill="1" applyBorder="1" applyAlignment="1">
      <alignment horizontal="right"/>
    </xf>
    <xf numFmtId="177" fontId="80" fillId="59" borderId="0" xfId="0" applyNumberFormat="1" applyFont="1" applyFill="1" applyBorder="1" applyAlignment="1">
      <alignment horizontal="right"/>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32" xfId="0" applyFont="1" applyFill="1" applyBorder="1" applyAlignment="1">
      <alignment vertical="top" wrapText="1"/>
    </xf>
    <xf numFmtId="0" fontId="60" fillId="0" borderId="24" xfId="0" applyFont="1" applyFill="1" applyBorder="1" applyAlignment="1">
      <alignment horizontal="left" vertical="top" wrapText="1"/>
    </xf>
    <xf numFmtId="0" fontId="61" fillId="59" borderId="33" xfId="0" applyFont="1" applyFill="1" applyBorder="1" applyAlignment="1">
      <alignment horizontal="left" vertical="top" wrapText="1"/>
    </xf>
    <xf numFmtId="0" fontId="60" fillId="60" borderId="28" xfId="0" applyFont="1" applyFill="1" applyBorder="1"/>
    <xf numFmtId="0" fontId="60" fillId="60" borderId="32" xfId="0" applyFont="1" applyFill="1" applyBorder="1"/>
    <xf numFmtId="0" fontId="60" fillId="60" borderId="29" xfId="0" applyFont="1" applyFill="1" applyBorder="1"/>
    <xf numFmtId="0" fontId="60" fillId="62" borderId="31" xfId="0" applyFont="1" applyFill="1" applyBorder="1"/>
    <xf numFmtId="0" fontId="60" fillId="62" borderId="36" xfId="0" applyFont="1" applyFill="1" applyBorder="1"/>
    <xf numFmtId="172" fontId="80" fillId="59" borderId="0" xfId="24" applyNumberFormat="1" applyFont="1" applyFill="1" applyBorder="1" applyAlignment="1">
      <alignment horizontal="right"/>
    </xf>
    <xf numFmtId="172" fontId="80" fillId="59" borderId="23" xfId="24" applyNumberFormat="1" applyFont="1" applyFill="1" applyBorder="1" applyAlignment="1">
      <alignment horizontal="right"/>
    </xf>
    <xf numFmtId="0" fontId="59" fillId="60" borderId="32" xfId="0" applyFont="1" applyFill="1" applyBorder="1" applyAlignment="1">
      <alignment vertical="top" wrapText="1"/>
    </xf>
    <xf numFmtId="0" fontId="60" fillId="62" borderId="34" xfId="0" applyFont="1" applyFill="1" applyBorder="1"/>
    <xf numFmtId="0" fontId="60" fillId="62" borderId="0" xfId="0" applyFont="1" applyFill="1" applyBorder="1" applyAlignment="1">
      <alignment horizontal="right"/>
    </xf>
    <xf numFmtId="0" fontId="65" fillId="61" borderId="30" xfId="0" applyFont="1" applyFill="1" applyBorder="1" applyAlignment="1">
      <alignment horizontal="left" vertical="center"/>
    </xf>
    <xf numFmtId="0" fontId="66" fillId="60" borderId="31" xfId="0" applyFont="1" applyFill="1" applyBorder="1"/>
    <xf numFmtId="0" fontId="64" fillId="60" borderId="31" xfId="0" applyFont="1" applyFill="1" applyBorder="1"/>
    <xf numFmtId="10" fontId="65" fillId="62" borderId="35" xfId="0" applyNumberFormat="1" applyFont="1" applyFill="1" applyBorder="1"/>
    <xf numFmtId="0" fontId="81" fillId="0" borderId="26" xfId="0" applyFont="1" applyFill="1" applyBorder="1" applyAlignment="1">
      <alignment vertical="top" wrapText="1"/>
    </xf>
    <xf numFmtId="176" fontId="77" fillId="63" borderId="0" xfId="0" applyNumberFormat="1" applyFont="1" applyFill="1" applyAlignment="1">
      <alignment horizontal="right" vertical="center"/>
    </xf>
    <xf numFmtId="0" fontId="60" fillId="62" borderId="22" xfId="0" applyFont="1" applyFill="1" applyBorder="1" applyAlignment="1">
      <alignment horizontal="left" vertical="top" wrapText="1"/>
    </xf>
    <xf numFmtId="176" fontId="77" fillId="63" borderId="0" xfId="0" applyNumberFormat="1" applyFont="1" applyFill="1" applyAlignment="1">
      <alignment horizontal="right" vertical="center"/>
    </xf>
    <xf numFmtId="3" fontId="61" fillId="59" borderId="0" xfId="0" applyNumberFormat="1" applyFont="1" applyFill="1" applyBorder="1"/>
    <xf numFmtId="3" fontId="61" fillId="59" borderId="23" xfId="0" applyNumberFormat="1" applyFont="1" applyFill="1" applyBorder="1"/>
    <xf numFmtId="3" fontId="65" fillId="61" borderId="27" xfId="0" applyNumberFormat="1" applyFont="1" applyFill="1" applyBorder="1" applyAlignment="1">
      <alignment horizontal="right" wrapText="1"/>
    </xf>
    <xf numFmtId="170" fontId="60" fillId="34" borderId="23" xfId="0" applyNumberFormat="1" applyFont="1" applyFill="1" applyBorder="1"/>
    <xf numFmtId="4" fontId="60" fillId="2" borderId="0" xfId="0" applyNumberFormat="1" applyFont="1" applyFill="1"/>
    <xf numFmtId="172" fontId="60" fillId="34" borderId="29" xfId="24" applyNumberFormat="1" applyFont="1" applyFill="1" applyBorder="1"/>
    <xf numFmtId="0" fontId="65" fillId="61" borderId="0" xfId="0" applyFont="1" applyFill="1" applyBorder="1" applyAlignment="1">
      <alignment horizontal="right" vertical="center"/>
    </xf>
    <xf numFmtId="172" fontId="60" fillId="34" borderId="26" xfId="24" applyNumberFormat="1" applyFont="1" applyFill="1" applyBorder="1"/>
    <xf numFmtId="3" fontId="81" fillId="34" borderId="23" xfId="21" applyNumberFormat="1" applyFont="1" applyFill="1" applyBorder="1" applyAlignment="1">
      <alignment horizontal="right"/>
    </xf>
    <xf numFmtId="172" fontId="80" fillId="34" borderId="23" xfId="0" applyNumberFormat="1" applyFont="1" applyFill="1" applyBorder="1" applyAlignment="1">
      <alignment horizontal="right" vertical="center" wrapText="1"/>
    </xf>
    <xf numFmtId="4" fontId="61" fillId="34" borderId="0" xfId="0" applyNumberFormat="1" applyFont="1" applyFill="1" applyBorder="1" applyAlignment="1">
      <alignment horizontal="right"/>
    </xf>
    <xf numFmtId="4" fontId="61" fillId="34" borderId="23" xfId="0" applyNumberFormat="1" applyFont="1" applyFill="1" applyBorder="1" applyAlignment="1">
      <alignment horizontal="right"/>
    </xf>
    <xf numFmtId="4" fontId="61" fillId="59" borderId="0" xfId="0" applyNumberFormat="1" applyFont="1" applyFill="1" applyBorder="1" applyAlignment="1">
      <alignment horizontal="right"/>
    </xf>
    <xf numFmtId="172" fontId="61" fillId="34" borderId="23" xfId="24" applyNumberFormat="1" applyFont="1" applyFill="1" applyBorder="1" applyAlignment="1">
      <alignment horizontal="right" vertical="center"/>
    </xf>
    <xf numFmtId="172" fontId="61" fillId="34" borderId="23" xfId="0" applyNumberFormat="1" applyFont="1" applyFill="1" applyBorder="1" applyAlignment="1">
      <alignment horizontal="right" vertical="center" wrapText="1"/>
    </xf>
    <xf numFmtId="3" fontId="61" fillId="34" borderId="23" xfId="21" applyNumberFormat="1" applyFont="1" applyFill="1" applyBorder="1" applyAlignment="1">
      <alignment horizontal="right"/>
    </xf>
    <xf numFmtId="3" fontId="60" fillId="34" borderId="27" xfId="21" applyNumberFormat="1" applyFont="1" applyFill="1" applyBorder="1" applyAlignment="1">
      <alignment horizontal="right"/>
    </xf>
    <xf numFmtId="172" fontId="60" fillId="2" borderId="0" xfId="24" applyNumberFormat="1" applyFont="1" applyFill="1"/>
    <xf numFmtId="172" fontId="60" fillId="59" borderId="25" xfId="24" applyNumberFormat="1" applyFont="1" applyFill="1" applyBorder="1"/>
    <xf numFmtId="177" fontId="69" fillId="34" borderId="32" xfId="0" applyNumberFormat="1" applyFont="1" applyFill="1" applyBorder="1" applyAlignment="1">
      <alignment horizontal="right"/>
    </xf>
    <xf numFmtId="177" fontId="69" fillId="34" borderId="0" xfId="0" applyNumberFormat="1" applyFont="1" applyFill="1" applyBorder="1" applyAlignment="1">
      <alignment horizontal="right"/>
    </xf>
    <xf numFmtId="173" fontId="67" fillId="34" borderId="0" xfId="25" applyNumberFormat="1" applyFont="1" applyFill="1" applyBorder="1" applyAlignment="1">
      <alignment horizontal="right"/>
    </xf>
    <xf numFmtId="173" fontId="67" fillId="34" borderId="23" xfId="25" applyNumberFormat="1" applyFont="1" applyFill="1" applyBorder="1" applyAlignment="1">
      <alignment horizontal="right"/>
    </xf>
    <xf numFmtId="9" fontId="83" fillId="62" borderId="23" xfId="26" applyFont="1" applyFill="1" applyBorder="1"/>
    <xf numFmtId="172" fontId="69" fillId="34" borderId="23" xfId="24" applyNumberFormat="1" applyFont="1" applyFill="1" applyBorder="1" applyAlignment="1">
      <alignment horizontal="right"/>
    </xf>
    <xf numFmtId="165" fontId="69" fillId="62" borderId="23" xfId="0" applyNumberFormat="1" applyFont="1" applyFill="1" applyBorder="1"/>
    <xf numFmtId="173" fontId="67" fillId="34" borderId="0" xfId="20" applyNumberFormat="1" applyFont="1" applyFill="1" applyBorder="1" applyAlignment="1">
      <alignment horizontal="right"/>
    </xf>
    <xf numFmtId="173" fontId="67" fillId="34" borderId="23" xfId="20" applyNumberFormat="1" applyFont="1" applyFill="1" applyBorder="1" applyAlignment="1">
      <alignment horizontal="right"/>
    </xf>
    <xf numFmtId="3" fontId="60" fillId="34" borderId="26" xfId="0" applyNumberFormat="1" applyFont="1" applyFill="1" applyBorder="1"/>
    <xf numFmtId="0" fontId="81" fillId="62" borderId="23" xfId="0" applyFont="1" applyFill="1" applyBorder="1"/>
    <xf numFmtId="174" fontId="81" fillId="34" borderId="23" xfId="20" applyNumberFormat="1" applyFont="1" applyFill="1" applyBorder="1"/>
    <xf numFmtId="3" fontId="81" fillId="62" borderId="0" xfId="0" applyNumberFormat="1" applyFont="1" applyFill="1"/>
    <xf numFmtId="3" fontId="61" fillId="34" borderId="29" xfId="0" applyNumberFormat="1" applyFont="1" applyFill="1" applyBorder="1"/>
    <xf numFmtId="3" fontId="61" fillId="34" borderId="23" xfId="0" applyNumberFormat="1" applyFont="1" applyFill="1" applyBorder="1"/>
    <xf numFmtId="3" fontId="61" fillId="34" borderId="27" xfId="0" applyNumberFormat="1" applyFont="1" applyFill="1" applyBorder="1"/>
    <xf numFmtId="176" fontId="77" fillId="63" borderId="0" xfId="0" applyNumberFormat="1" applyFont="1" applyFill="1" applyAlignment="1">
      <alignment horizontal="right" vertical="center"/>
    </xf>
    <xf numFmtId="0" fontId="59" fillId="60" borderId="0"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32" xfId="0" applyFont="1" applyFill="1" applyBorder="1" applyAlignment="1">
      <alignment horizontal="left" vertical="top" wrapText="1"/>
    </xf>
    <xf numFmtId="0" fontId="60" fillId="62" borderId="0" xfId="0" applyFont="1" applyFill="1" applyAlignment="1">
      <alignment horizontal="center"/>
    </xf>
    <xf numFmtId="3" fontId="61" fillId="34" borderId="0" xfId="21" applyNumberFormat="1" applyFont="1" applyFill="1" applyBorder="1" applyAlignment="1">
      <alignment horizontal="right"/>
    </xf>
    <xf numFmtId="172" fontId="60" fillId="34" borderId="35" xfId="24" applyNumberFormat="1" applyFont="1" applyFill="1" applyBorder="1" applyAlignment="1">
      <alignment horizontal="right"/>
    </xf>
    <xf numFmtId="172" fontId="60" fillId="34" borderId="27" xfId="24" applyNumberFormat="1" applyFont="1" applyFill="1" applyBorder="1" applyAlignment="1">
      <alignment horizontal="right"/>
    </xf>
    <xf numFmtId="0" fontId="66" fillId="62" borderId="33" xfId="0" applyFont="1" applyFill="1" applyBorder="1"/>
    <xf numFmtId="3" fontId="92" fillId="34" borderId="23" xfId="0" applyNumberFormat="1" applyFont="1" applyFill="1" applyBorder="1"/>
    <xf numFmtId="3" fontId="92" fillId="62" borderId="0" xfId="0" applyNumberFormat="1" applyFont="1" applyFill="1"/>
    <xf numFmtId="3" fontId="61" fillId="59" borderId="0" xfId="21" applyNumberFormat="1" applyFont="1" applyFill="1" applyBorder="1" applyAlignment="1">
      <alignment horizontal="right"/>
    </xf>
    <xf numFmtId="172" fontId="61" fillId="59" borderId="0" xfId="0" applyNumberFormat="1" applyFont="1" applyFill="1" applyBorder="1" applyAlignment="1">
      <alignment horizontal="right" vertical="center" wrapText="1"/>
    </xf>
    <xf numFmtId="172" fontId="92" fillId="59" borderId="0" xfId="0" applyNumberFormat="1" applyFont="1" applyFill="1" applyBorder="1" applyAlignment="1">
      <alignment horizontal="right" vertical="center" wrapText="1"/>
    </xf>
    <xf numFmtId="3" fontId="61" fillId="2" borderId="0" xfId="0" applyNumberFormat="1" applyFont="1" applyFill="1"/>
    <xf numFmtId="0" fontId="60" fillId="62" borderId="0" xfId="0" applyFont="1" applyFill="1" applyBorder="1" applyAlignment="1">
      <alignment horizontal="left" vertical="top" wrapText="1"/>
    </xf>
    <xf numFmtId="173" fontId="80" fillId="34" borderId="0" xfId="20" applyNumberFormat="1" applyFont="1" applyFill="1" applyBorder="1" applyAlignment="1">
      <alignment horizontal="right"/>
    </xf>
    <xf numFmtId="173" fontId="80" fillId="34" borderId="23" xfId="20" applyNumberFormat="1" applyFont="1" applyFill="1" applyBorder="1" applyAlignment="1">
      <alignment horizontal="right"/>
    </xf>
    <xf numFmtId="0" fontId="80" fillId="62" borderId="33" xfId="0" applyFont="1" applyFill="1" applyBorder="1" applyAlignment="1">
      <alignment horizontal="left" vertical="center" indent="3"/>
    </xf>
    <xf numFmtId="0" fontId="61" fillId="62" borderId="33" xfId="0" applyFont="1" applyFill="1" applyBorder="1" applyAlignment="1">
      <alignment horizontal="left" vertical="center" indent="1"/>
    </xf>
    <xf numFmtId="173" fontId="69" fillId="34" borderId="0" xfId="20" applyNumberFormat="1" applyFont="1" applyFill="1" applyBorder="1" applyAlignment="1">
      <alignment horizontal="right"/>
    </xf>
    <xf numFmtId="173" fontId="61" fillId="34" borderId="23" xfId="20" applyNumberFormat="1" applyFont="1" applyFill="1" applyBorder="1" applyAlignment="1">
      <alignment horizontal="right"/>
    </xf>
    <xf numFmtId="173" fontId="69" fillId="34" borderId="23" xfId="20" applyNumberFormat="1" applyFont="1" applyFill="1" applyBorder="1" applyAlignment="1">
      <alignment horizontal="right"/>
    </xf>
    <xf numFmtId="173" fontId="61" fillId="34" borderId="23" xfId="0" applyNumberFormat="1" applyFont="1" applyFill="1" applyBorder="1" applyAlignment="1">
      <alignment horizontal="right"/>
    </xf>
    <xf numFmtId="173" fontId="64" fillId="62" borderId="22" xfId="26" applyNumberFormat="1" applyFont="1" applyFill="1" applyBorder="1"/>
    <xf numFmtId="177" fontId="69" fillId="34" borderId="28" xfId="0" applyNumberFormat="1" applyFont="1" applyFill="1" applyBorder="1" applyAlignment="1">
      <alignment horizontal="right"/>
    </xf>
    <xf numFmtId="177" fontId="69" fillId="34" borderId="32" xfId="0" applyNumberFormat="1" applyFont="1" applyFill="1" applyBorder="1" applyAlignment="1">
      <alignment horizontal="right"/>
    </xf>
    <xf numFmtId="177" fontId="69" fillId="34" borderId="22" xfId="0" applyNumberFormat="1" applyFont="1" applyFill="1" applyBorder="1" applyAlignment="1">
      <alignment horizontal="right"/>
    </xf>
    <xf numFmtId="177" fontId="69" fillId="34" borderId="0" xfId="0" applyNumberFormat="1" applyFont="1" applyFill="1" applyBorder="1" applyAlignment="1">
      <alignment horizontal="right"/>
    </xf>
    <xf numFmtId="0" fontId="67" fillId="62" borderId="33" xfId="0" applyFont="1" applyFill="1" applyBorder="1" applyAlignment="1">
      <alignment horizontal="left" vertical="center"/>
    </xf>
    <xf numFmtId="0" fontId="67" fillId="0" borderId="36" xfId="0" applyFont="1" applyFill="1" applyBorder="1" applyAlignment="1">
      <alignment horizontal="left" vertical="center"/>
    </xf>
    <xf numFmtId="172" fontId="80" fillId="34" borderId="23" xfId="24" applyNumberFormat="1" applyFont="1" applyFill="1" applyBorder="1" applyAlignment="1">
      <alignment horizontal="right"/>
    </xf>
    <xf numFmtId="172" fontId="61" fillId="34" borderId="0" xfId="24" applyNumberFormat="1" applyFont="1" applyFill="1" applyBorder="1" applyAlignment="1">
      <alignment horizontal="right"/>
    </xf>
    <xf numFmtId="172" fontId="61" fillId="34" borderId="23" xfId="24" applyNumberFormat="1" applyFont="1" applyFill="1" applyBorder="1" applyAlignment="1">
      <alignment horizontal="right"/>
    </xf>
    <xf numFmtId="172" fontId="69" fillId="34" borderId="27" xfId="24" applyNumberFormat="1" applyFont="1" applyFill="1" applyBorder="1" applyAlignment="1">
      <alignment horizontal="right"/>
    </xf>
    <xf numFmtId="0" fontId="61" fillId="62" borderId="36" xfId="0" applyFont="1" applyFill="1" applyBorder="1" applyAlignment="1">
      <alignment horizontal="left" vertical="center" indent="1"/>
    </xf>
    <xf numFmtId="172" fontId="61" fillId="34" borderId="35" xfId="24" applyNumberFormat="1" applyFont="1" applyFill="1" applyBorder="1" applyAlignment="1">
      <alignment horizontal="right"/>
    </xf>
    <xf numFmtId="0" fontId="61" fillId="62" borderId="0" xfId="0" applyFont="1" applyFill="1" applyBorder="1" applyAlignment="1">
      <alignment vertical="top"/>
    </xf>
    <xf numFmtId="0" fontId="80" fillId="62" borderId="31" xfId="0" applyFont="1" applyFill="1" applyBorder="1" applyAlignment="1">
      <alignment horizontal="left" vertical="center" indent="3"/>
    </xf>
    <xf numFmtId="169" fontId="80" fillId="34" borderId="32" xfId="0" applyNumberFormat="1" applyFont="1" applyFill="1" applyBorder="1" applyAlignment="1">
      <alignment horizontal="right"/>
    </xf>
    <xf numFmtId="169" fontId="80" fillId="34" borderId="0" xfId="0" applyNumberFormat="1" applyFont="1" applyFill="1" applyBorder="1" applyAlignment="1">
      <alignment horizontal="right"/>
    </xf>
    <xf numFmtId="169" fontId="69" fillId="34" borderId="0" xfId="20" applyNumberFormat="1" applyFont="1" applyFill="1" applyBorder="1" applyAlignment="1">
      <alignment horizontal="right"/>
    </xf>
    <xf numFmtId="169" fontId="67" fillId="34" borderId="0" xfId="0" applyNumberFormat="1" applyFont="1" applyFill="1" applyBorder="1" applyAlignment="1">
      <alignment horizontal="right"/>
    </xf>
    <xf numFmtId="169" fontId="67" fillId="34" borderId="23" xfId="0" applyNumberFormat="1" applyFont="1" applyFill="1" applyBorder="1" applyAlignment="1">
      <alignment horizontal="right"/>
    </xf>
    <xf numFmtId="169" fontId="86" fillId="34" borderId="0" xfId="24" applyNumberFormat="1" applyFont="1" applyFill="1" applyBorder="1" applyAlignment="1">
      <alignment horizontal="right"/>
    </xf>
    <xf numFmtId="169" fontId="64" fillId="62" borderId="22" xfId="0" applyNumberFormat="1" applyFont="1" applyFill="1" applyBorder="1"/>
    <xf numFmtId="169" fontId="64" fillId="62" borderId="0" xfId="0" applyNumberFormat="1" applyFont="1" applyFill="1" applyBorder="1"/>
    <xf numFmtId="169" fontId="69" fillId="62" borderId="0" xfId="0" applyNumberFormat="1" applyFont="1" applyFill="1" applyBorder="1"/>
    <xf numFmtId="169" fontId="69" fillId="62" borderId="23" xfId="0" applyNumberFormat="1" applyFont="1" applyFill="1" applyBorder="1"/>
    <xf numFmtId="169" fontId="80" fillId="34" borderId="29" xfId="0" applyNumberFormat="1" applyFont="1" applyFill="1" applyBorder="1" applyAlignment="1">
      <alignment horizontal="right"/>
    </xf>
    <xf numFmtId="169" fontId="80" fillId="34" borderId="23" xfId="0" applyNumberFormat="1" applyFont="1" applyFill="1" applyBorder="1" applyAlignment="1">
      <alignment horizontal="right"/>
    </xf>
    <xf numFmtId="169" fontId="69" fillId="34" borderId="23" xfId="20" applyNumberFormat="1" applyFont="1" applyFill="1" applyBorder="1" applyAlignment="1">
      <alignment horizontal="right"/>
    </xf>
    <xf numFmtId="169" fontId="80" fillId="34" borderId="22" xfId="0" applyNumberFormat="1" applyFont="1" applyFill="1" applyBorder="1" applyAlignment="1">
      <alignment horizontal="right"/>
    </xf>
    <xf numFmtId="169" fontId="80" fillId="34" borderId="0" xfId="0" applyNumberFormat="1" applyFont="1" applyFill="1" applyBorder="1" applyAlignment="1">
      <alignment horizontal="right"/>
    </xf>
    <xf numFmtId="169" fontId="86" fillId="34" borderId="23" xfId="24" applyNumberFormat="1" applyFont="1" applyFill="1" applyBorder="1" applyAlignment="1">
      <alignment horizontal="right"/>
    </xf>
    <xf numFmtId="0" fontId="86" fillId="62" borderId="33" xfId="0" applyFont="1" applyFill="1" applyBorder="1" applyAlignment="1">
      <alignment horizontal="left" vertical="center"/>
    </xf>
    <xf numFmtId="169" fontId="80" fillId="34" borderId="28" xfId="0" applyNumberFormat="1" applyFont="1" applyFill="1" applyBorder="1"/>
    <xf numFmtId="169" fontId="80" fillId="34" borderId="32" xfId="0" applyNumberFormat="1" applyFont="1" applyFill="1" applyBorder="1"/>
    <xf numFmtId="169" fontId="84" fillId="34" borderId="29" xfId="0" applyNumberFormat="1" applyFont="1" applyFill="1" applyBorder="1"/>
    <xf numFmtId="169" fontId="80" fillId="34" borderId="22" xfId="0" applyNumberFormat="1" applyFont="1" applyFill="1" applyBorder="1"/>
    <xf numFmtId="169" fontId="80" fillId="34" borderId="0" xfId="0" applyNumberFormat="1" applyFont="1" applyFill="1" applyBorder="1"/>
    <xf numFmtId="169" fontId="84" fillId="34" borderId="23" xfId="0" applyNumberFormat="1" applyFont="1" applyFill="1" applyBorder="1"/>
    <xf numFmtId="169" fontId="69" fillId="34" borderId="22" xfId="20" applyNumberFormat="1" applyFont="1" applyFill="1" applyBorder="1" applyAlignment="1">
      <alignment horizontal="right"/>
    </xf>
    <xf numFmtId="169" fontId="80" fillId="34" borderId="23" xfId="0" applyNumberFormat="1" applyFont="1" applyFill="1" applyBorder="1"/>
    <xf numFmtId="173" fontId="69" fillId="34" borderId="0" xfId="20" applyNumberFormat="1" applyFont="1" applyFill="1" applyBorder="1" applyAlignment="1">
      <alignment horizontal="right"/>
    </xf>
    <xf numFmtId="0" fontId="61" fillId="0" borderId="23" xfId="0" applyFont="1" applyFill="1" applyBorder="1" applyAlignment="1">
      <alignment vertical="top" wrapText="1"/>
    </xf>
    <xf numFmtId="0" fontId="59" fillId="60" borderId="26" xfId="0" applyFont="1" applyFill="1" applyBorder="1" applyAlignment="1">
      <alignment vertical="top" wrapText="1"/>
    </xf>
    <xf numFmtId="0" fontId="94" fillId="0" borderId="0" xfId="0" applyFont="1" applyFill="1"/>
    <xf numFmtId="0" fontId="94" fillId="62" borderId="0" xfId="0" applyFont="1" applyFill="1"/>
    <xf numFmtId="172" fontId="64" fillId="62" borderId="0" xfId="26" applyNumberFormat="1" applyFont="1" applyFill="1" applyBorder="1"/>
    <xf numFmtId="175" fontId="60" fillId="34" borderId="0" xfId="0" applyNumberFormat="1" applyFont="1" applyFill="1" applyAlignment="1">
      <alignment horizontal="right"/>
    </xf>
    <xf numFmtId="0" fontId="80" fillId="62" borderId="33" xfId="0" applyFont="1" applyFill="1" applyBorder="1" applyAlignment="1">
      <alignment horizontal="left" indent="4"/>
    </xf>
    <xf numFmtId="169" fontId="60" fillId="34" borderId="0" xfId="0" applyNumberFormat="1" applyFont="1" applyFill="1" applyBorder="1" applyAlignment="1">
      <alignment horizontal="right"/>
    </xf>
    <xf numFmtId="169" fontId="60" fillId="34" borderId="23" xfId="0" applyNumberFormat="1" applyFont="1" applyFill="1" applyBorder="1" applyAlignment="1">
      <alignment horizontal="right"/>
    </xf>
    <xf numFmtId="169" fontId="92" fillId="34" borderId="0" xfId="0" applyNumberFormat="1" applyFont="1" applyFill="1" applyBorder="1" applyAlignment="1">
      <alignment horizontal="left"/>
    </xf>
    <xf numFmtId="0" fontId="67" fillId="62" borderId="36" xfId="0" applyFont="1" applyFill="1" applyBorder="1" applyAlignment="1">
      <alignment horizontal="left" vertical="center"/>
    </xf>
    <xf numFmtId="169" fontId="64" fillId="34" borderId="35" xfId="20" applyNumberFormat="1" applyFont="1" applyFill="1" applyBorder="1" applyAlignment="1">
      <alignment horizontal="right"/>
    </xf>
    <xf numFmtId="169" fontId="64" fillId="34" borderId="27" xfId="20" applyNumberFormat="1" applyFont="1" applyFill="1" applyBorder="1" applyAlignment="1">
      <alignment horizontal="right"/>
    </xf>
    <xf numFmtId="0" fontId="61" fillId="62" borderId="33" xfId="0" applyFont="1" applyFill="1" applyBorder="1" applyAlignment="1">
      <alignment horizontal="left" indent="1"/>
    </xf>
    <xf numFmtId="169" fontId="67" fillId="34" borderId="27" xfId="20" applyNumberFormat="1" applyFont="1" applyFill="1" applyBorder="1" applyAlignment="1">
      <alignment horizontal="right"/>
    </xf>
    <xf numFmtId="169" fontId="64" fillId="59" borderId="35" xfId="20" applyNumberFormat="1" applyFont="1" applyFill="1" applyBorder="1" applyAlignment="1">
      <alignment horizontal="right"/>
    </xf>
    <xf numFmtId="173" fontId="67" fillId="59" borderId="0" xfId="25" applyNumberFormat="1" applyFont="1" applyFill="1" applyBorder="1" applyAlignment="1">
      <alignment horizontal="right"/>
    </xf>
    <xf numFmtId="173" fontId="69" fillId="59" borderId="0" xfId="20" applyNumberFormat="1" applyFont="1" applyFill="1" applyBorder="1" applyAlignment="1">
      <alignment horizontal="right"/>
    </xf>
    <xf numFmtId="172" fontId="87" fillId="34" borderId="23" xfId="24" applyNumberFormat="1" applyFont="1" applyFill="1" applyBorder="1" applyAlignment="1">
      <alignment horizontal="right"/>
    </xf>
    <xf numFmtId="0" fontId="79" fillId="62" borderId="33" xfId="0" applyFont="1" applyFill="1" applyBorder="1" applyAlignment="1">
      <alignment horizontal="left" indent="1"/>
    </xf>
    <xf numFmtId="0" fontId="80" fillId="62" borderId="0" xfId="0" applyFont="1" applyFill="1"/>
    <xf numFmtId="172" fontId="80" fillId="34" borderId="0" xfId="24" applyNumberFormat="1" applyFont="1" applyFill="1" applyBorder="1" applyAlignment="1">
      <alignment horizontal="right" vertical="center"/>
    </xf>
    <xf numFmtId="172" fontId="80" fillId="34" borderId="0" xfId="24" applyNumberFormat="1" applyFont="1" applyFill="1" applyBorder="1" applyAlignment="1">
      <alignment horizontal="right" vertical="center" wrapText="1"/>
    </xf>
    <xf numFmtId="172" fontId="80" fillId="34" borderId="23" xfId="24" applyNumberFormat="1" applyFont="1" applyFill="1" applyBorder="1" applyAlignment="1">
      <alignment horizontal="right" vertical="center" wrapText="1"/>
    </xf>
    <xf numFmtId="3" fontId="80" fillId="34" borderId="22" xfId="21" applyNumberFormat="1" applyFont="1" applyFill="1" applyBorder="1" applyAlignment="1">
      <alignment horizontal="right"/>
    </xf>
    <xf numFmtId="3" fontId="80" fillId="34" borderId="0" xfId="21" applyNumberFormat="1" applyFont="1" applyFill="1" applyBorder="1" applyAlignment="1">
      <alignment horizontal="right"/>
    </xf>
    <xf numFmtId="3" fontId="80" fillId="59" borderId="0" xfId="21" applyNumberFormat="1" applyFont="1" applyFill="1" applyBorder="1" applyAlignment="1">
      <alignment horizontal="right"/>
    </xf>
    <xf numFmtId="3" fontId="80" fillId="59" borderId="23" xfId="21" applyNumberFormat="1" applyFont="1" applyFill="1" applyBorder="1" applyAlignment="1">
      <alignment horizontal="right"/>
    </xf>
    <xf numFmtId="0" fontId="79" fillId="62" borderId="22" xfId="0" applyFont="1" applyFill="1" applyBorder="1" applyAlignment="1">
      <alignment horizontal="left" indent="1"/>
    </xf>
    <xf numFmtId="3" fontId="80" fillId="34" borderId="23" xfId="21" applyNumberFormat="1" applyFont="1" applyFill="1" applyBorder="1" applyAlignment="1">
      <alignment horizontal="right"/>
    </xf>
    <xf numFmtId="3" fontId="80" fillId="34" borderId="0" xfId="0" applyNumberFormat="1" applyFont="1" applyFill="1" applyBorder="1" applyAlignment="1">
      <alignment horizontal="right"/>
    </xf>
    <xf numFmtId="3" fontId="80" fillId="34" borderId="23" xfId="0" applyNumberFormat="1" applyFont="1" applyFill="1" applyBorder="1" applyAlignment="1">
      <alignment horizontal="right"/>
    </xf>
    <xf numFmtId="170" fontId="61" fillId="34" borderId="28" xfId="0" applyNumberFormat="1" applyFont="1" applyFill="1" applyBorder="1" applyAlignment="1">
      <alignment horizontal="right"/>
    </xf>
    <xf numFmtId="170" fontId="61" fillId="34" borderId="32" xfId="0" applyNumberFormat="1" applyFont="1" applyFill="1" applyBorder="1" applyAlignment="1">
      <alignment horizontal="right"/>
    </xf>
    <xf numFmtId="170" fontId="61" fillId="34" borderId="32" xfId="0" applyNumberFormat="1" applyFont="1" applyFill="1" applyBorder="1" applyAlignment="1">
      <alignment horizontal="right"/>
    </xf>
    <xf numFmtId="170" fontId="60" fillId="34" borderId="29" xfId="0" applyNumberFormat="1" applyFont="1" applyFill="1" applyBorder="1" applyAlignment="1">
      <alignment horizontal="right"/>
    </xf>
    <xf numFmtId="170" fontId="61" fillId="59" borderId="32" xfId="0" applyNumberFormat="1" applyFont="1" applyFill="1" applyBorder="1" applyAlignment="1">
      <alignment horizontal="right"/>
    </xf>
    <xf numFmtId="170" fontId="92" fillId="59" borderId="32" xfId="0" applyNumberFormat="1" applyFont="1" applyFill="1" applyBorder="1" applyAlignment="1">
      <alignment horizontal="right"/>
    </xf>
    <xf numFmtId="1" fontId="60" fillId="59" borderId="23" xfId="0" applyNumberFormat="1" applyFont="1" applyFill="1" applyBorder="1"/>
    <xf numFmtId="0" fontId="66" fillId="62" borderId="36" xfId="0" applyFont="1" applyFill="1" applyBorder="1"/>
    <xf numFmtId="0" fontId="60" fillId="62" borderId="28" xfId="0" applyFont="1" applyFill="1" applyBorder="1"/>
    <xf numFmtId="0" fontId="60" fillId="62" borderId="32" xfId="0" applyFont="1" applyFill="1" applyBorder="1" applyAlignment="1">
      <alignment horizontal="right"/>
    </xf>
    <xf numFmtId="0" fontId="60" fillId="62" borderId="32" xfId="0" applyFont="1" applyFill="1" applyBorder="1"/>
    <xf numFmtId="3" fontId="92" fillId="2" borderId="22" xfId="0" applyNumberFormat="1" applyFont="1" applyFill="1" applyBorder="1" applyAlignment="1">
      <alignment horizontal="right"/>
    </xf>
    <xf numFmtId="3" fontId="92" fillId="2" borderId="0" xfId="0" applyNumberFormat="1" applyFont="1" applyFill="1" applyBorder="1" applyAlignment="1">
      <alignment horizontal="right"/>
    </xf>
    <xf numFmtId="0" fontId="92" fillId="2" borderId="0" xfId="0" applyFont="1" applyFill="1"/>
    <xf numFmtId="10" fontId="66" fillId="2" borderId="0" xfId="0" applyNumberFormat="1" applyFont="1" applyFill="1" applyBorder="1" applyAlignment="1">
      <alignment horizontal="right"/>
    </xf>
    <xf numFmtId="0" fontId="66" fillId="62" borderId="33" xfId="0" applyFont="1" applyFill="1" applyBorder="1" applyAlignment="1">
      <alignment wrapText="1"/>
    </xf>
    <xf numFmtId="0" fontId="66" fillId="62" borderId="22" xfId="0" applyFont="1" applyFill="1" applyBorder="1" applyAlignment="1">
      <alignment wrapText="1"/>
    </xf>
    <xf numFmtId="0" fontId="66" fillId="62" borderId="0" xfId="0" applyFont="1" applyFill="1" applyBorder="1" applyAlignment="1">
      <alignment wrapText="1"/>
    </xf>
    <xf numFmtId="0" fontId="66" fillId="62" borderId="23" xfId="0" applyFont="1" applyFill="1" applyBorder="1" applyAlignment="1">
      <alignment wrapText="1"/>
    </xf>
    <xf numFmtId="0" fontId="60" fillId="62" borderId="0" xfId="0" applyFont="1" applyFill="1" applyBorder="1" applyAlignment="1">
      <alignment/>
    </xf>
    <xf numFmtId="0" fontId="66" fillId="62" borderId="31" xfId="0" applyFont="1" applyFill="1" applyBorder="1" applyAlignment="1">
      <alignment wrapText="1"/>
    </xf>
    <xf numFmtId="0" fontId="65" fillId="61" borderId="31" xfId="0" applyFont="1" applyFill="1" applyBorder="1" applyAlignment="1">
      <alignment horizontal="right" vertical="top" wrapText="1"/>
    </xf>
    <xf numFmtId="0" fontId="92" fillId="2" borderId="22" xfId="0" applyFont="1" applyFill="1" applyBorder="1" applyAlignment="1">
      <alignment horizontal="left" indent="1"/>
    </xf>
    <xf numFmtId="0" fontId="66" fillId="62" borderId="31" xfId="0" applyFont="1" applyFill="1" applyBorder="1"/>
    <xf numFmtId="3" fontId="60" fillId="34" borderId="32" xfId="0" applyNumberFormat="1" applyFont="1" applyFill="1" applyBorder="1"/>
    <xf numFmtId="0" fontId="87" fillId="62" borderId="0" xfId="0" applyFont="1" applyFill="1"/>
    <xf numFmtId="172" fontId="87" fillId="62" borderId="0" xfId="24" applyNumberFormat="1" applyFont="1" applyFill="1" applyBorder="1"/>
    <xf numFmtId="172" fontId="87" fillId="62" borderId="35" xfId="24" applyNumberFormat="1" applyFont="1" applyFill="1" applyBorder="1"/>
    <xf numFmtId="0" fontId="86" fillId="62" borderId="33" xfId="0" applyFont="1" applyFill="1" applyBorder="1" applyAlignment="1">
      <alignment horizontal="left" indent="1"/>
    </xf>
    <xf numFmtId="0" fontId="86" fillId="62" borderId="36" xfId="0" applyFont="1" applyFill="1" applyBorder="1" applyAlignment="1">
      <alignment horizontal="left" indent="1"/>
    </xf>
    <xf numFmtId="0" fontId="95" fillId="0" borderId="0" xfId="0" applyFont="1" applyBorder="1" applyAlignment="1">
      <alignment vertical="top" wrapText="1"/>
    </xf>
    <xf numFmtId="0" fontId="65" fillId="61" borderId="31" xfId="0" applyFont="1" applyFill="1" applyBorder="1" applyAlignment="1" applyProtection="1">
      <alignment horizontal="left"/>
      <protection locked="0"/>
    </xf>
    <xf numFmtId="0" fontId="56" fillId="0" borderId="32" xfId="0" applyFont="1" applyBorder="1"/>
    <xf numFmtId="0" fontId="56" fillId="0" borderId="24" xfId="0" applyFont="1" applyBorder="1"/>
    <xf numFmtId="0" fontId="56" fillId="0" borderId="26" xfId="0" applyFont="1" applyBorder="1"/>
    <xf numFmtId="0" fontId="60" fillId="0" borderId="29" xfId="0" applyFont="1" applyFill="1" applyBorder="1" applyAlignment="1">
      <alignment vertical="top" wrapText="1"/>
    </xf>
    <xf numFmtId="172" fontId="87" fillId="59" borderId="0" xfId="24" applyNumberFormat="1" applyFont="1" applyFill="1" applyBorder="1" applyAlignment="1">
      <alignment horizontal="right"/>
    </xf>
    <xf numFmtId="0" fontId="60" fillId="62" borderId="33" xfId="0" applyFont="1" applyFill="1" applyBorder="1" applyAlignment="1">
      <alignment horizontal="left" indent="1"/>
    </xf>
    <xf numFmtId="0" fontId="66" fillId="60" borderId="33" xfId="0" applyFont="1" applyFill="1" applyBorder="1" applyAlignment="1">
      <alignment horizontal="left" indent="1"/>
    </xf>
    <xf numFmtId="0" fontId="66" fillId="60" borderId="36" xfId="0" applyFont="1" applyFill="1" applyBorder="1" applyAlignment="1">
      <alignment horizontal="left" indent="1"/>
    </xf>
    <xf numFmtId="174" fontId="60" fillId="62" borderId="0" xfId="20" applyNumberFormat="1" applyFont="1" applyFill="1" applyBorder="1"/>
    <xf numFmtId="170" fontId="92" fillId="34" borderId="0" xfId="0" applyNumberFormat="1" applyFont="1" applyFill="1" applyBorder="1"/>
    <xf numFmtId="0" fontId="86" fillId="62" borderId="33" xfId="0" applyFont="1" applyFill="1" applyBorder="1" applyAlignment="1">
      <alignment horizontal="left"/>
    </xf>
    <xf numFmtId="3" fontId="60" fillId="62" borderId="0" xfId="0" applyNumberFormat="1" applyFont="1" applyFill="1" applyAlignment="1">
      <alignment horizontal="left"/>
    </xf>
    <xf numFmtId="0" fontId="94" fillId="60" borderId="25" xfId="0" applyFont="1" applyFill="1" applyBorder="1" applyAlignment="1">
      <alignment horizontal="left"/>
    </xf>
    <xf numFmtId="0" fontId="60" fillId="0" borderId="0" xfId="0" applyFont="1" applyFill="1" applyBorder="1" applyAlignment="1">
      <alignment horizontal="left" vertical="top" wrapText="1"/>
    </xf>
    <xf numFmtId="0" fontId="93" fillId="60" borderId="25" xfId="0" applyFont="1" applyFill="1" applyBorder="1" applyAlignment="1">
      <alignment horizontal="left"/>
    </xf>
    <xf numFmtId="9" fontId="93" fillId="60" borderId="25" xfId="0" applyNumberFormat="1" applyFont="1" applyFill="1" applyBorder="1" applyAlignment="1">
      <alignment horizontal="left"/>
    </xf>
    <xf numFmtId="0" fontId="93" fillId="2" borderId="0" xfId="0" applyFont="1" applyFill="1"/>
    <xf numFmtId="0" fontId="60" fillId="2" borderId="33" xfId="0" applyFont="1" applyFill="1" applyBorder="1" applyAlignment="1">
      <alignment horizontal="left" indent="1"/>
    </xf>
    <xf numFmtId="175" fontId="60" fillId="34" borderId="0" xfId="0" applyNumberFormat="1" applyFont="1" applyFill="1" applyAlignment="1">
      <alignment horizontal="right"/>
    </xf>
    <xf numFmtId="3" fontId="60" fillId="2" borderId="22" xfId="0" applyNumberFormat="1" applyFont="1" applyFill="1" applyBorder="1" applyAlignment="1">
      <alignment horizontal="right"/>
    </xf>
    <xf numFmtId="3" fontId="61" fillId="59" borderId="33" xfId="0" applyNumberFormat="1" applyFont="1" applyFill="1" applyBorder="1" applyAlignment="1">
      <alignment vertical="top" wrapText="1"/>
    </xf>
    <xf numFmtId="0" fontId="60" fillId="2" borderId="35" xfId="0" applyFont="1" applyFill="1" applyBorder="1"/>
    <xf numFmtId="0" fontId="66" fillId="62" borderId="36" xfId="0" applyFont="1" applyFill="1" applyBorder="1" applyAlignment="1">
      <alignment horizontal="left"/>
    </xf>
    <xf numFmtId="172" fontId="60" fillId="34" borderId="35" xfId="24" applyNumberFormat="1" applyFont="1" applyFill="1" applyBorder="1" applyAlignment="1">
      <alignment horizontal="right"/>
    </xf>
    <xf numFmtId="0" fontId="60" fillId="62" borderId="0" xfId="0" applyFont="1" applyFill="1"/>
    <xf numFmtId="49" fontId="86" fillId="62" borderId="33" xfId="0" applyNumberFormat="1" applyFont="1" applyFill="1" applyBorder="1" applyAlignment="1">
      <alignment horizontal="left" indent="1"/>
    </xf>
    <xf numFmtId="170" fontId="60" fillId="59" borderId="35" xfId="0" applyNumberFormat="1" applyFont="1" applyFill="1" applyBorder="1"/>
    <xf numFmtId="0" fontId="60" fillId="2" borderId="33" xfId="0" applyFont="1" applyFill="1" applyBorder="1" applyAlignment="1">
      <alignment horizontal="left" indent="1"/>
    </xf>
    <xf numFmtId="0" fontId="98" fillId="62" borderId="33" xfId="0" applyFont="1" applyFill="1" applyBorder="1" applyAlignment="1">
      <alignment horizontal="left" indent="1"/>
    </xf>
    <xf numFmtId="9" fontId="60" fillId="62" borderId="0" xfId="24" applyFont="1" applyFill="1"/>
    <xf numFmtId="172" fontId="60" fillId="62" borderId="0" xfId="24" applyNumberFormat="1" applyFont="1" applyFill="1"/>
    <xf numFmtId="0" fontId="66" fillId="62" borderId="0" xfId="0" applyFont="1" applyFill="1"/>
    <xf numFmtId="9" fontId="66" fillId="62" borderId="0" xfId="24" applyNumberFormat="1" applyFont="1" applyFill="1"/>
    <xf numFmtId="9" fontId="94" fillId="62" borderId="0" xfId="24" applyNumberFormat="1" applyFont="1" applyFill="1"/>
    <xf numFmtId="172" fontId="92" fillId="62" borderId="0" xfId="24" applyNumberFormat="1" applyFont="1" applyFill="1"/>
    <xf numFmtId="0" fontId="60" fillId="0" borderId="0" xfId="0" applyFont="1" applyBorder="1"/>
    <xf numFmtId="0" fontId="64" fillId="62" borderId="31" xfId="0" applyFont="1" applyFill="1" applyBorder="1" applyAlignment="1">
      <alignment horizontal="left" indent="1"/>
    </xf>
    <xf numFmtId="172" fontId="101" fillId="34" borderId="0" xfId="24" applyNumberFormat="1" applyFont="1" applyFill="1" applyBorder="1"/>
    <xf numFmtId="172" fontId="101" fillId="34" borderId="34" xfId="24" applyNumberFormat="1" applyFont="1" applyFill="1" applyBorder="1"/>
    <xf numFmtId="172" fontId="101" fillId="34" borderId="35" xfId="24" applyNumberFormat="1" applyFont="1" applyFill="1" applyBorder="1"/>
    <xf numFmtId="172" fontId="87" fillId="34" borderId="0" xfId="24" applyNumberFormat="1" applyFont="1" applyFill="1" applyBorder="1"/>
    <xf numFmtId="172" fontId="80" fillId="34" borderId="0" xfId="24" applyNumberFormat="1" applyFont="1" applyFill="1" applyBorder="1"/>
    <xf numFmtId="172" fontId="92" fillId="34" borderId="0" xfId="24" applyNumberFormat="1" applyFont="1" applyFill="1" applyBorder="1"/>
    <xf numFmtId="172" fontId="92" fillId="34" borderId="23" xfId="24" applyNumberFormat="1" applyFont="1" applyFill="1" applyBorder="1"/>
    <xf numFmtId="172" fontId="92" fillId="34" borderId="35" xfId="24" applyNumberFormat="1" applyFont="1" applyFill="1" applyBorder="1"/>
    <xf numFmtId="172" fontId="92" fillId="34" borderId="27" xfId="24" applyNumberFormat="1" applyFont="1" applyFill="1" applyBorder="1"/>
    <xf numFmtId="172" fontId="92" fillId="59" borderId="0" xfId="24" applyNumberFormat="1" applyFont="1" applyFill="1" applyBorder="1" applyAlignment="1">
      <alignment horizontal="right"/>
    </xf>
    <xf numFmtId="172" fontId="92" fillId="59" borderId="34" xfId="24" applyNumberFormat="1" applyFont="1" applyFill="1" applyBorder="1" applyAlignment="1">
      <alignment horizontal="right"/>
    </xf>
    <xf numFmtId="172" fontId="92" fillId="59" borderId="35" xfId="24" applyNumberFormat="1" applyFont="1" applyFill="1" applyBorder="1" applyAlignment="1">
      <alignment horizontal="right"/>
    </xf>
    <xf numFmtId="9" fontId="100" fillId="59" borderId="0" xfId="24" applyFont="1" applyFill="1" applyBorder="1"/>
    <xf numFmtId="9" fontId="100" fillId="59" borderId="23" xfId="24" applyFont="1" applyFill="1" applyBorder="1"/>
    <xf numFmtId="9" fontId="67" fillId="34" borderId="0" xfId="24" applyNumberFormat="1" applyFont="1" applyFill="1" applyBorder="1"/>
    <xf numFmtId="9" fontId="100" fillId="34" borderId="0" xfId="24" applyNumberFormat="1" applyFont="1" applyFill="1" applyBorder="1"/>
    <xf numFmtId="9" fontId="100" fillId="34" borderId="29" xfId="24" applyNumberFormat="1" applyFont="1" applyFill="1" applyBorder="1"/>
    <xf numFmtId="3" fontId="102" fillId="59" borderId="0" xfId="0" applyNumberFormat="1" applyFont="1" applyFill="1" applyBorder="1"/>
    <xf numFmtId="3" fontId="87" fillId="34" borderId="0" xfId="0" applyNumberFormat="1" applyFont="1" applyFill="1" applyBorder="1"/>
    <xf numFmtId="170" fontId="60" fillId="34" borderId="35" xfId="0" applyNumberFormat="1" applyFont="1" applyFill="1" applyBorder="1"/>
    <xf numFmtId="3" fontId="102" fillId="34" borderId="0" xfId="0" applyNumberFormat="1" applyFont="1" applyFill="1" applyBorder="1"/>
    <xf numFmtId="172" fontId="87" fillId="34" borderId="23" xfId="24" applyNumberFormat="1" applyFont="1" applyFill="1" applyBorder="1"/>
    <xf numFmtId="3" fontId="102" fillId="34" borderId="23" xfId="0" applyNumberFormat="1" applyFont="1" applyFill="1" applyBorder="1"/>
    <xf numFmtId="170" fontId="60" fillId="34" borderId="27" xfId="0" applyNumberFormat="1" applyFont="1" applyFill="1" applyBorder="1"/>
    <xf numFmtId="172" fontId="102" fillId="59" borderId="0" xfId="24" applyNumberFormat="1" applyFont="1" applyFill="1" applyBorder="1"/>
    <xf numFmtId="3" fontId="60" fillId="59" borderId="28" xfId="21" applyNumberFormat="1" applyFont="1" applyFill="1" applyBorder="1" applyAlignment="1">
      <alignment horizontal="right"/>
    </xf>
    <xf numFmtId="0" fontId="66" fillId="60" borderId="24" xfId="0" applyFont="1" applyFill="1" applyBorder="1" applyAlignment="1">
      <alignment/>
    </xf>
    <xf numFmtId="0" fontId="97" fillId="60" borderId="26" xfId="0" applyFont="1" applyFill="1" applyBorder="1" applyAlignment="1">
      <alignment horizontal="center"/>
    </xf>
    <xf numFmtId="0" fontId="98" fillId="62" borderId="22" xfId="0" applyFont="1" applyFill="1" applyBorder="1" applyAlignment="1">
      <alignment horizontal="left" indent="1"/>
    </xf>
    <xf numFmtId="3" fontId="60" fillId="62" borderId="29" xfId="0" applyNumberFormat="1" applyFont="1" applyFill="1" applyBorder="1" applyAlignment="1">
      <alignment horizontal="right"/>
    </xf>
    <xf numFmtId="3" fontId="60" fillId="62" borderId="32" xfId="0" applyNumberFormat="1" applyFont="1" applyFill="1" applyBorder="1" applyAlignment="1">
      <alignment horizontal="right"/>
    </xf>
    <xf numFmtId="0" fontId="58" fillId="64" borderId="0" xfId="0" applyFont="1" applyFill="1" applyBorder="1" applyAlignment="1">
      <alignment horizontal="left" vertical="top" wrapText="1"/>
    </xf>
    <xf numFmtId="0" fontId="61" fillId="59" borderId="33" xfId="0" applyFont="1" applyFill="1" applyBorder="1" applyAlignment="1">
      <alignment horizontal="left" vertical="top" wrapText="1"/>
    </xf>
    <xf numFmtId="172" fontId="60" fillId="62" borderId="22" xfId="24" applyNumberFormat="1" applyFont="1" applyFill="1" applyBorder="1" applyAlignment="1">
      <alignment horizontal="right"/>
    </xf>
    <xf numFmtId="172" fontId="60" fillId="62" borderId="0" xfId="24" applyNumberFormat="1" applyFont="1" applyFill="1" applyBorder="1" applyAlignment="1">
      <alignment horizontal="right"/>
    </xf>
    <xf numFmtId="0" fontId="61" fillId="0" borderId="29" xfId="0" applyFont="1" applyFill="1" applyBorder="1" applyAlignment="1">
      <alignment vertical="top" wrapText="1"/>
    </xf>
    <xf numFmtId="0" fontId="60" fillId="62" borderId="0" xfId="0" applyFont="1" applyFill="1" applyBorder="1" applyAlignment="1">
      <alignment horizontal="left" vertical="top" wrapText="1"/>
    </xf>
    <xf numFmtId="172" fontId="60" fillId="34" borderId="0" xfId="24" applyNumberFormat="1" applyFont="1" applyFill="1" applyBorder="1" applyAlignment="1">
      <alignment horizontal="right"/>
    </xf>
    <xf numFmtId="172" fontId="60" fillId="59" borderId="0" xfId="24" applyNumberFormat="1" applyFont="1" applyFill="1" applyBorder="1" applyAlignment="1">
      <alignment horizontal="right"/>
    </xf>
    <xf numFmtId="172" fontId="61" fillId="34" borderId="22" xfId="20" applyNumberFormat="1" applyFont="1" applyFill="1" applyBorder="1" applyAlignment="1">
      <alignment horizontal="right" vertical="center"/>
    </xf>
    <xf numFmtId="0" fontId="79" fillId="62" borderId="36" xfId="0" applyFont="1" applyFill="1" applyBorder="1" applyAlignment="1">
      <alignment horizontal="left" indent="1"/>
    </xf>
    <xf numFmtId="172" fontId="60" fillId="34" borderId="35" xfId="24" applyNumberFormat="1" applyFont="1" applyFill="1" applyBorder="1"/>
    <xf numFmtId="3" fontId="61" fillId="34" borderId="0" xfId="0" applyNumberFormat="1" applyFont="1" applyFill="1" applyBorder="1"/>
    <xf numFmtId="1" fontId="60" fillId="62" borderId="0" xfId="0" applyNumberFormat="1" applyFont="1" applyFill="1"/>
    <xf numFmtId="0" fontId="94" fillId="62" borderId="0" xfId="0" applyFont="1" applyFill="1" applyAlignment="1">
      <alignment horizontal="left" vertical="top"/>
    </xf>
    <xf numFmtId="172" fontId="66" fillId="62" borderId="0" xfId="24" applyNumberFormat="1" applyFont="1" applyFill="1"/>
    <xf numFmtId="3" fontId="104" fillId="0" borderId="0" xfId="0" applyNumberFormat="1" applyFont="1"/>
    <xf numFmtId="3" fontId="60" fillId="59" borderId="0" xfId="24" applyNumberFormat="1" applyFont="1" applyFill="1" applyBorder="1" applyAlignment="1">
      <alignment horizontal="right" wrapText="1"/>
    </xf>
    <xf numFmtId="3" fontId="60" fillId="59" borderId="23" xfId="24" applyNumberFormat="1" applyFont="1" applyFill="1" applyBorder="1" applyAlignment="1">
      <alignment horizontal="right" wrapText="1"/>
    </xf>
    <xf numFmtId="0" fontId="81" fillId="0" borderId="0" xfId="0" applyFont="1"/>
    <xf numFmtId="172" fontId="80" fillId="59" borderId="0" xfId="20" applyNumberFormat="1" applyFont="1" applyFill="1" applyBorder="1" applyAlignment="1">
      <alignment horizontal="right" vertical="center"/>
    </xf>
    <xf numFmtId="172" fontId="80" fillId="59" borderId="23" xfId="20" applyNumberFormat="1" applyFont="1" applyFill="1" applyBorder="1" applyAlignment="1">
      <alignment horizontal="right" vertical="center"/>
    </xf>
    <xf numFmtId="9" fontId="61" fillId="62" borderId="0"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1" fillId="34" borderId="34" xfId="20" applyNumberFormat="1" applyFont="1" applyFill="1" applyBorder="1" applyAlignment="1">
      <alignment horizontal="right" vertic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103" fillId="62" borderId="0" xfId="0" applyFont="1" applyFill="1" applyBorder="1"/>
    <xf numFmtId="170" fontId="61" fillId="59" borderId="22" xfId="0" applyNumberFormat="1" applyFont="1" applyFill="1" applyBorder="1" applyAlignment="1">
      <alignment horizontal="right"/>
    </xf>
    <xf numFmtId="170" fontId="61" fillId="59" borderId="0" xfId="0" applyNumberFormat="1" applyFont="1" applyFill="1" applyBorder="1" applyAlignment="1">
      <alignment horizontal="right"/>
    </xf>
    <xf numFmtId="170" fontId="61" fillId="59" borderId="23" xfId="0" applyNumberFormat="1" applyFont="1" applyFill="1" applyBorder="1" applyAlignment="1">
      <alignment horizontal="right"/>
    </xf>
    <xf numFmtId="3" fontId="66" fillId="62" borderId="28" xfId="0" applyNumberFormat="1" applyFont="1" applyFill="1" applyBorder="1" applyAlignment="1">
      <alignment vertical="top" wrapText="1"/>
    </xf>
    <xf numFmtId="3" fontId="66" fillId="62" borderId="32" xfId="0" applyNumberFormat="1" applyFont="1" applyFill="1" applyBorder="1" applyAlignment="1">
      <alignment vertical="top" wrapText="1"/>
    </xf>
    <xf numFmtId="3" fontId="66" fillId="62" borderId="29" xfId="0" applyNumberFormat="1" applyFont="1" applyFill="1" applyBorder="1" applyAlignment="1">
      <alignment vertical="top" wrapText="1"/>
    </xf>
    <xf numFmtId="3" fontId="66" fillId="62" borderId="22" xfId="0" applyNumberFormat="1" applyFont="1" applyFill="1" applyBorder="1" applyAlignment="1">
      <alignment vertical="top" wrapText="1"/>
    </xf>
    <xf numFmtId="3" fontId="66" fillId="62" borderId="0" xfId="0" applyNumberFormat="1" applyFont="1" applyFill="1" applyBorder="1" applyAlignment="1">
      <alignment vertical="top" wrapText="1"/>
    </xf>
    <xf numFmtId="3" fontId="66" fillId="62" borderId="23" xfId="0" applyNumberFormat="1" applyFont="1" applyFill="1" applyBorder="1" applyAlignment="1">
      <alignment vertical="top" wrapText="1"/>
    </xf>
    <xf numFmtId="1" fontId="60" fillId="62" borderId="0" xfId="0" applyNumberFormat="1" applyFont="1" applyFill="1" applyBorder="1"/>
    <xf numFmtId="1" fontId="0" fillId="62" borderId="28" xfId="0" applyNumberFormat="1" applyFill="1" applyBorder="1" applyAlignment="1">
      <alignment horizontal="center"/>
    </xf>
    <xf numFmtId="1" fontId="0" fillId="62" borderId="29" xfId="0" applyNumberFormat="1" applyFill="1" applyBorder="1" applyAlignment="1">
      <alignment horizontal="center"/>
    </xf>
    <xf numFmtId="1" fontId="0" fillId="62" borderId="32" xfId="0" applyNumberFormat="1" applyFill="1" applyBorder="1" applyAlignment="1">
      <alignment horizontal="center"/>
    </xf>
    <xf numFmtId="2" fontId="61" fillId="62" borderId="0" xfId="24" applyNumberFormat="1" applyFont="1" applyFill="1" applyBorder="1" applyAlignment="1">
      <alignment horizontal="right" vertical="center"/>
    </xf>
    <xf numFmtId="178" fontId="61" fillId="62" borderId="0" xfId="0" applyNumberFormat="1" applyFont="1" applyFill="1" applyBorder="1" applyAlignment="1">
      <alignment horizontal="right" vertical="center"/>
    </xf>
    <xf numFmtId="0" fontId="60" fillId="62" borderId="0"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3" fontId="80" fillId="34" borderId="22" xfId="0" applyNumberFormat="1" applyFont="1" applyFill="1" applyBorder="1"/>
    <xf numFmtId="3" fontId="80" fillId="34" borderId="0" xfId="0" applyNumberFormat="1" applyFont="1" applyFill="1" applyBorder="1"/>
    <xf numFmtId="3" fontId="80" fillId="34" borderId="23" xfId="0" applyNumberFormat="1" applyFont="1" applyFill="1" applyBorder="1"/>
    <xf numFmtId="3" fontId="80" fillId="59" borderId="0" xfId="0" applyNumberFormat="1" applyFont="1" applyFill="1" applyBorder="1"/>
    <xf numFmtId="0" fontId="94" fillId="0" borderId="0" xfId="0" applyFont="1"/>
    <xf numFmtId="170" fontId="61" fillId="59" borderId="0" xfId="21" applyNumberFormat="1" applyFont="1" applyFill="1" applyBorder="1" applyAlignment="1">
      <alignment horizontal="right"/>
    </xf>
    <xf numFmtId="1" fontId="61" fillId="59" borderId="35" xfId="0" applyNumberFormat="1" applyFont="1" applyFill="1" applyBorder="1"/>
    <xf numFmtId="1" fontId="61" fillId="59" borderId="27" xfId="0" applyNumberFormat="1" applyFont="1" applyFill="1" applyBorder="1"/>
    <xf numFmtId="172" fontId="61" fillId="34" borderId="32"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0" fontId="94" fillId="2" borderId="0" xfId="0" applyFont="1" applyFill="1" applyBorder="1" applyAlignment="1">
      <alignment horizontal="left" vertical="top" wrapText="1"/>
    </xf>
    <xf numFmtId="3" fontId="61" fillId="34" borderId="27" xfId="0" applyNumberFormat="1" applyFont="1" applyFill="1" applyBorder="1" applyAlignment="1">
      <alignment horizontal="right"/>
    </xf>
    <xf numFmtId="3" fontId="60" fillId="59" borderId="34" xfId="0" applyNumberFormat="1" applyFont="1" applyFill="1" applyBorder="1"/>
    <xf numFmtId="0" fontId="94" fillId="2" borderId="0" xfId="0" applyFont="1" applyFill="1" applyBorder="1" applyAlignment="1">
      <alignment horizontal="left" vertical="top" wrapText="1"/>
    </xf>
    <xf numFmtId="0" fontId="66" fillId="62" borderId="33" xfId="0" applyFont="1" applyFill="1" applyBorder="1"/>
    <xf numFmtId="174" fontId="60" fillId="34" borderId="23" xfId="20" applyNumberFormat="1" applyFont="1" applyFill="1" applyBorder="1"/>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0" fontId="60" fillId="2" borderId="0" xfId="0" applyFont="1" applyFill="1" applyAlignment="1">
      <alignment wrapText="1"/>
    </xf>
    <xf numFmtId="172" fontId="60" fillId="59" borderId="32" xfId="24" applyNumberFormat="1" applyFont="1" applyFill="1" applyBorder="1" applyAlignment="1">
      <alignment horizontal="right" wrapText="1"/>
    </xf>
    <xf numFmtId="172" fontId="60" fillId="59" borderId="29" xfId="24" applyNumberFormat="1" applyFont="1" applyFill="1" applyBorder="1" applyAlignment="1">
      <alignment horizontal="right" wrapText="1"/>
    </xf>
    <xf numFmtId="172" fontId="60" fillId="34" borderId="27" xfId="24" applyNumberFormat="1" applyFont="1" applyFill="1" applyBorder="1"/>
    <xf numFmtId="172" fontId="60" fillId="59" borderId="35" xfId="24" applyNumberFormat="1" applyFont="1" applyFill="1" applyBorder="1" applyAlignment="1">
      <alignment horizontal="right" wrapText="1"/>
    </xf>
    <xf numFmtId="172" fontId="60" fillId="34" borderId="0" xfId="24" applyNumberFormat="1" applyFont="1" applyFill="1" applyBorder="1"/>
    <xf numFmtId="172" fontId="60" fillId="34" borderId="23" xfId="24" applyNumberFormat="1" applyFont="1" applyFill="1" applyBorder="1"/>
    <xf numFmtId="174" fontId="60" fillId="34" borderId="25" xfId="20" applyNumberFormat="1" applyFont="1" applyFill="1" applyBorder="1"/>
    <xf numFmtId="3" fontId="92" fillId="59" borderId="25" xfId="0" applyNumberFormat="1" applyFont="1" applyFill="1" applyBorder="1"/>
    <xf numFmtId="3" fontId="92" fillId="59" borderId="26" xfId="0" applyNumberFormat="1" applyFont="1" applyFill="1" applyBorder="1"/>
    <xf numFmtId="170" fontId="60" fillId="59" borderId="25" xfId="24" applyNumberFormat="1" applyFont="1" applyFill="1" applyBorder="1" applyAlignment="1">
      <alignment horizontal="right" wrapText="1"/>
    </xf>
    <xf numFmtId="3" fontId="60" fillId="0" borderId="23" xfId="21" applyNumberFormat="1" applyFont="1" applyFill="1" applyBorder="1" applyAlignment="1">
      <alignment horizontal="right"/>
    </xf>
    <xf numFmtId="3" fontId="61" fillId="0" borderId="0" xfId="21" applyNumberFormat="1" applyFont="1" applyFill="1" applyBorder="1" applyAlignment="1">
      <alignment horizontal="right"/>
    </xf>
    <xf numFmtId="172" fontId="61" fillId="34" borderId="0" xfId="24" applyNumberFormat="1" applyFont="1" applyFill="1" applyBorder="1"/>
    <xf numFmtId="172" fontId="61" fillId="34" borderId="35" xfId="24" applyNumberFormat="1" applyFont="1" applyFill="1" applyBorder="1"/>
    <xf numFmtId="9" fontId="60" fillId="0" borderId="0" xfId="24" applyNumberFormat="1" applyFont="1"/>
    <xf numFmtId="172" fontId="61" fillId="34" borderId="27" xfId="20" applyNumberFormat="1" applyFont="1" applyFill="1" applyBorder="1" applyAlignment="1">
      <alignment horizontal="right" vertical="center"/>
    </xf>
    <xf numFmtId="172" fontId="61" fillId="34" borderId="29" xfId="20" applyNumberFormat="1" applyFont="1" applyFill="1" applyBorder="1" applyAlignment="1">
      <alignment horizontal="right" vertical="center"/>
    </xf>
    <xf numFmtId="172" fontId="60" fillId="59" borderId="35" xfId="0" applyNumberFormat="1" applyFont="1" applyFill="1" applyBorder="1" applyAlignment="1">
      <alignment horizontal="right" vertical="center" wrapText="1"/>
    </xf>
    <xf numFmtId="172" fontId="60" fillId="59" borderId="27" xfId="0" applyNumberFormat="1" applyFont="1" applyFill="1" applyBorder="1" applyAlignment="1">
      <alignment horizontal="right" vertical="center" wrapText="1"/>
    </xf>
    <xf numFmtId="172" fontId="60" fillId="59" borderId="28" xfId="0" applyNumberFormat="1" applyFont="1" applyFill="1" applyBorder="1" applyAlignment="1">
      <alignment horizontal="right" vertical="center" wrapText="1"/>
    </xf>
    <xf numFmtId="172" fontId="60" fillId="59" borderId="32" xfId="0" applyNumberFormat="1" applyFont="1" applyFill="1" applyBorder="1" applyAlignment="1">
      <alignment horizontal="right" vertical="center" wrapText="1"/>
    </xf>
    <xf numFmtId="172" fontId="60" fillId="59" borderId="29" xfId="0" applyNumberFormat="1" applyFont="1" applyFill="1" applyBorder="1" applyAlignment="1">
      <alignment horizontal="right" vertical="center" wrapText="1"/>
    </xf>
    <xf numFmtId="170" fontId="61" fillId="59" borderId="35" xfId="0" applyNumberFormat="1" applyFont="1" applyFill="1" applyBorder="1"/>
    <xf numFmtId="0" fontId="86" fillId="62" borderId="33" xfId="0" applyFont="1" applyFill="1" applyBorder="1" applyAlignment="1">
      <alignment horizontal="left" indent="2"/>
    </xf>
    <xf numFmtId="0" fontId="64" fillId="62" borderId="31" xfId="0" applyFont="1" applyFill="1" applyBorder="1" applyAlignment="1">
      <alignment horizontal="left"/>
    </xf>
    <xf numFmtId="0" fontId="67" fillId="62" borderId="36" xfId="0" applyFont="1" applyFill="1" applyBorder="1" applyAlignment="1">
      <alignment horizontal="left"/>
    </xf>
    <xf numFmtId="3" fontId="66" fillId="34" borderId="34" xfId="0" applyNumberFormat="1" applyFont="1" applyFill="1" applyBorder="1"/>
    <xf numFmtId="3" fontId="66" fillId="34" borderId="35" xfId="0" applyNumberFormat="1" applyFont="1" applyFill="1" applyBorder="1"/>
    <xf numFmtId="3" fontId="66" fillId="34" borderId="27" xfId="0" applyNumberFormat="1" applyFont="1" applyFill="1" applyBorder="1"/>
    <xf numFmtId="3" fontId="66" fillId="59" borderId="35" xfId="24" applyNumberFormat="1" applyFont="1" applyFill="1" applyBorder="1" applyAlignment="1">
      <alignment horizontal="right" wrapText="1"/>
    </xf>
    <xf numFmtId="3" fontId="66" fillId="59" borderId="27" xfId="24" applyNumberFormat="1" applyFont="1" applyFill="1" applyBorder="1" applyAlignment="1">
      <alignment horizontal="right" wrapText="1"/>
    </xf>
    <xf numFmtId="0" fontId="66" fillId="0" borderId="0" xfId="0" applyFont="1"/>
    <xf numFmtId="172" fontId="66" fillId="34" borderId="34" xfId="24" applyNumberFormat="1" applyFont="1" applyFill="1" applyBorder="1"/>
    <xf numFmtId="172" fontId="66" fillId="34" borderId="35" xfId="24" applyNumberFormat="1" applyFont="1" applyFill="1" applyBorder="1"/>
    <xf numFmtId="172" fontId="66" fillId="34" borderId="27" xfId="24" applyNumberFormat="1" applyFont="1" applyFill="1" applyBorder="1"/>
    <xf numFmtId="172" fontId="60" fillId="59" borderId="0" xfId="24" applyNumberFormat="1" applyFont="1" applyFill="1" applyBorder="1" applyAlignment="1">
      <alignment horizontal="right" wrapText="1"/>
    </xf>
    <xf numFmtId="172" fontId="66" fillId="59" borderId="35" xfId="24" applyNumberFormat="1" applyFont="1" applyFill="1" applyBorder="1" applyAlignment="1">
      <alignment horizontal="right" wrapText="1"/>
    </xf>
    <xf numFmtId="0" fontId="61" fillId="0" borderId="0" xfId="0" applyFont="1"/>
    <xf numFmtId="172" fontId="92" fillId="59" borderId="0" xfId="24" applyNumberFormat="1" applyFont="1" applyFill="1" applyBorder="1" applyAlignment="1">
      <alignment horizontal="right" wrapText="1"/>
    </xf>
    <xf numFmtId="172" fontId="92" fillId="59" borderId="23" xfId="24" applyNumberFormat="1" applyFont="1" applyFill="1" applyBorder="1" applyAlignment="1">
      <alignment horizontal="right" wrapText="1"/>
    </xf>
    <xf numFmtId="3" fontId="60" fillId="34" borderId="0" xfId="24" applyNumberFormat="1" applyFont="1" applyFill="1" applyBorder="1"/>
    <xf numFmtId="3" fontId="66" fillId="34" borderId="34" xfId="24" applyNumberFormat="1" applyFont="1" applyFill="1" applyBorder="1"/>
    <xf numFmtId="3" fontId="60" fillId="34" borderId="23" xfId="24" applyNumberFormat="1" applyFont="1" applyFill="1" applyBorder="1"/>
    <xf numFmtId="3" fontId="66" fillId="34" borderId="35" xfId="24" applyNumberFormat="1" applyFont="1" applyFill="1" applyBorder="1"/>
    <xf numFmtId="3" fontId="66" fillId="34" borderId="27" xfId="24" applyNumberFormat="1" applyFont="1" applyFill="1" applyBorder="1"/>
    <xf numFmtId="3" fontId="60" fillId="59" borderId="23" xfId="24" applyNumberFormat="1" applyFont="1" applyFill="1" applyBorder="1" applyAlignment="1">
      <alignment horizontal="right" wrapText="1"/>
    </xf>
    <xf numFmtId="172" fontId="60" fillId="59" borderId="27" xfId="24" applyNumberFormat="1" applyFont="1" applyFill="1" applyBorder="1" applyAlignment="1">
      <alignment horizontal="right" wrapText="1"/>
    </xf>
    <xf numFmtId="0" fontId="58" fillId="64" borderId="32" xfId="0" applyFont="1" applyFill="1" applyBorder="1" applyAlignment="1">
      <alignment horizontal="left" vertical="top" wrapText="1"/>
    </xf>
    <xf numFmtId="0" fontId="60" fillId="59" borderId="33" xfId="0" applyFont="1" applyFill="1" applyBorder="1" applyAlignment="1">
      <alignment horizontal="left" vertical="top" wrapText="1"/>
    </xf>
    <xf numFmtId="0" fontId="66" fillId="62" borderId="34" xfId="0" applyFont="1" applyFill="1" applyBorder="1"/>
    <xf numFmtId="172" fontId="60" fillId="62" borderId="34" xfId="24" applyNumberFormat="1" applyFont="1" applyFill="1" applyBorder="1"/>
    <xf numFmtId="172" fontId="60" fillId="62" borderId="35" xfId="24" applyNumberFormat="1" applyFont="1" applyFill="1" applyBorder="1"/>
    <xf numFmtId="172" fontId="60" fillId="62" borderId="27" xfId="24" applyNumberFormat="1" applyFont="1" applyFill="1" applyBorder="1"/>
    <xf numFmtId="3" fontId="61" fillId="34" borderId="23" xfId="21" applyNumberFormat="1" applyFont="1" applyFill="1" applyBorder="1" applyAlignment="1">
      <alignment horizontal="right"/>
    </xf>
    <xf numFmtId="172" fontId="60" fillId="59" borderId="23" xfId="0" applyNumberFormat="1" applyFont="1" applyFill="1" applyBorder="1" applyAlignment="1">
      <alignment horizontal="right" vertical="center" wrapText="1"/>
    </xf>
    <xf numFmtId="172" fontId="61" fillId="34" borderId="23" xfId="24" applyNumberFormat="1" applyFont="1" applyFill="1" applyBorder="1" applyAlignment="1">
      <alignment horizontal="right"/>
    </xf>
    <xf numFmtId="172" fontId="61" fillId="34" borderId="27" xfId="20" applyNumberFormat="1" applyFont="1" applyFill="1" applyBorder="1" applyAlignment="1">
      <alignment horizontal="right" vertical="center"/>
    </xf>
    <xf numFmtId="3" fontId="80" fillId="34" borderId="23" xfId="21" applyNumberFormat="1" applyFont="1" applyFill="1" applyBorder="1" applyAlignment="1">
      <alignment horizontal="right"/>
    </xf>
    <xf numFmtId="3" fontId="80" fillId="59" borderId="23" xfId="21" applyNumberFormat="1" applyFont="1" applyFill="1" applyBorder="1" applyAlignment="1">
      <alignment horizontal="right"/>
    </xf>
    <xf numFmtId="3" fontId="61" fillId="2" borderId="23" xfId="0" applyNumberFormat="1" applyFont="1" applyFill="1" applyBorder="1" applyAlignment="1">
      <alignment vertical="center" wrapText="1"/>
    </xf>
    <xf numFmtId="3" fontId="60" fillId="62" borderId="23" xfId="0" applyNumberFormat="1" applyFont="1" applyFill="1" applyBorder="1" applyAlignment="1">
      <alignment horizontal="right"/>
    </xf>
    <xf numFmtId="0" fontId="61" fillId="0" borderId="23" xfId="0" applyFont="1" applyFill="1" applyBorder="1" applyAlignment="1">
      <alignment vertical="top" wrapText="1"/>
    </xf>
    <xf numFmtId="0" fontId="58" fillId="64" borderId="35" xfId="0" applyFont="1" applyFill="1" applyBorder="1" applyAlignment="1">
      <alignment horizontal="left" vertical="top" wrapText="1"/>
    </xf>
    <xf numFmtId="0" fontId="60" fillId="34" borderId="36" xfId="0" applyFont="1" applyFill="1" applyBorder="1" applyAlignment="1">
      <alignment horizontal="left" vertical="top" wrapText="1"/>
    </xf>
    <xf numFmtId="10" fontId="60" fillId="34" borderId="34" xfId="0" applyNumberFormat="1" applyFont="1" applyFill="1" applyBorder="1" applyAlignment="1">
      <alignment vertical="top" wrapText="1"/>
    </xf>
    <xf numFmtId="10" fontId="60" fillId="34" borderId="35" xfId="0" applyNumberFormat="1" applyFont="1" applyFill="1" applyBorder="1" applyAlignment="1">
      <alignment vertical="top" wrapText="1"/>
    </xf>
    <xf numFmtId="10" fontId="60" fillId="34" borderId="27" xfId="0" applyNumberFormat="1" applyFont="1" applyFill="1" applyBorder="1" applyAlignment="1">
      <alignment vertical="top" wrapText="1"/>
    </xf>
    <xf numFmtId="172" fontId="60" fillId="34" borderId="23" xfId="24" applyNumberFormat="1" applyFont="1" applyFill="1" applyBorder="1" applyAlignment="1">
      <alignment horizontal="right"/>
    </xf>
    <xf numFmtId="172" fontId="60" fillId="59" borderId="23" xfId="24" applyNumberFormat="1" applyFont="1" applyFill="1" applyBorder="1" applyAlignment="1">
      <alignment horizontal="right"/>
    </xf>
    <xf numFmtId="172" fontId="61" fillId="34" borderId="34" xfId="20" applyNumberFormat="1" applyFont="1" applyFill="1" applyBorder="1" applyAlignment="1">
      <alignment horizontal="right" vertical="center"/>
    </xf>
    <xf numFmtId="172" fontId="80" fillId="34" borderId="35" xfId="24" applyNumberFormat="1" applyFont="1" applyFill="1" applyBorder="1" applyAlignment="1">
      <alignment horizontal="right"/>
    </xf>
    <xf numFmtId="172" fontId="80" fillId="34" borderId="27" xfId="24" applyNumberFormat="1" applyFont="1" applyFill="1" applyBorder="1" applyAlignment="1">
      <alignment horizontal="right"/>
    </xf>
    <xf numFmtId="172" fontId="80" fillId="59" borderId="35" xfId="24" applyNumberFormat="1" applyFont="1" applyFill="1" applyBorder="1" applyAlignment="1">
      <alignment horizontal="right"/>
    </xf>
    <xf numFmtId="172" fontId="80" fillId="59" borderId="27" xfId="24" applyNumberFormat="1" applyFont="1" applyFill="1" applyBorder="1" applyAlignment="1">
      <alignment horizontal="right"/>
    </xf>
    <xf numFmtId="179" fontId="80" fillId="34" borderId="0" xfId="20" applyNumberFormat="1" applyFont="1" applyFill="1" applyBorder="1" applyAlignment="1">
      <alignment horizontal="right" vertical="center"/>
    </xf>
    <xf numFmtId="179" fontId="80" fillId="34" borderId="35"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0" fillId="59" borderId="25" xfId="24" applyNumberFormat="1" applyFont="1" applyFill="1" applyBorder="1" applyAlignment="1">
      <alignment horizontal="right" wrapText="1"/>
    </xf>
    <xf numFmtId="172" fontId="60" fillId="59" borderId="26" xfId="24" applyNumberFormat="1" applyFont="1" applyFill="1" applyBorder="1" applyAlignment="1">
      <alignment horizontal="right" wrapText="1"/>
    </xf>
    <xf numFmtId="172" fontId="80" fillId="34" borderId="22" xfId="20" applyNumberFormat="1" applyFont="1" applyFill="1" applyBorder="1" applyAlignment="1">
      <alignment horizontal="right" vertical="center"/>
    </xf>
    <xf numFmtId="172" fontId="80" fillId="34" borderId="34" xfId="20" applyNumberFormat="1" applyFont="1" applyFill="1" applyBorder="1" applyAlignment="1">
      <alignment horizontal="right" vertical="center"/>
    </xf>
    <xf numFmtId="172" fontId="80" fillId="34" borderId="35" xfId="20" applyNumberFormat="1" applyFont="1" applyFill="1" applyBorder="1" applyAlignment="1">
      <alignment horizontal="right" vertical="center"/>
    </xf>
    <xf numFmtId="0" fontId="61" fillId="62" borderId="22" xfId="0" applyFont="1" applyFill="1" applyBorder="1" applyAlignment="1">
      <alignment horizontal="left" vertical="top" wrapText="1"/>
    </xf>
    <xf numFmtId="172" fontId="92" fillId="34" borderId="0" xfId="24" applyNumberFormat="1" applyFont="1" applyFill="1" applyBorder="1" applyAlignment="1">
      <alignment horizontal="right"/>
    </xf>
    <xf numFmtId="172" fontId="92" fillId="34" borderId="23" xfId="24" applyNumberFormat="1" applyFont="1" applyFill="1" applyBorder="1" applyAlignment="1">
      <alignment horizontal="right"/>
    </xf>
    <xf numFmtId="172" fontId="92" fillId="34" borderId="29" xfId="24" applyNumberFormat="1" applyFont="1" applyFill="1" applyBorder="1" applyAlignment="1">
      <alignment horizontal="right"/>
    </xf>
    <xf numFmtId="172" fontId="80" fillId="34" borderId="23" xfId="24" applyNumberFormat="1" applyFont="1" applyFill="1" applyBorder="1" applyAlignment="1">
      <alignment horizontal="right"/>
    </xf>
    <xf numFmtId="172" fontId="80" fillId="59" borderId="23" xfId="24" applyNumberFormat="1" applyFont="1" applyFill="1" applyBorder="1" applyAlignment="1">
      <alignment horizontal="right"/>
    </xf>
    <xf numFmtId="180" fontId="61" fillId="34" borderId="0" xfId="20" applyNumberFormat="1" applyFont="1" applyFill="1" applyBorder="1" applyAlignment="1">
      <alignment horizontal="right" vertical="center"/>
    </xf>
    <xf numFmtId="2" fontId="80" fillId="34" borderId="0" xfId="20" applyNumberFormat="1" applyFont="1" applyFill="1" applyBorder="1" applyAlignment="1">
      <alignment horizontal="right" vertical="center"/>
    </xf>
    <xf numFmtId="2" fontId="80" fillId="34" borderId="35" xfId="20" applyNumberFormat="1" applyFont="1" applyFill="1" applyBorder="1" applyAlignment="1">
      <alignment horizontal="right" vertical="center"/>
    </xf>
    <xf numFmtId="2" fontId="80" fillId="34" borderId="0" xfId="24" applyNumberFormat="1" applyFont="1" applyFill="1" applyBorder="1" applyAlignment="1">
      <alignment horizontal="right"/>
    </xf>
    <xf numFmtId="2" fontId="80" fillId="34" borderId="35" xfId="24" applyNumberFormat="1" applyFont="1" applyFill="1" applyBorder="1" applyAlignment="1">
      <alignment horizontal="right"/>
    </xf>
    <xf numFmtId="172" fontId="92" fillId="34" borderId="23" xfId="24" applyNumberFormat="1" applyFont="1" applyFill="1" applyBorder="1" applyAlignment="1">
      <alignment horizontal="right"/>
    </xf>
    <xf numFmtId="172" fontId="87" fillId="62" borderId="34" xfId="24" applyNumberFormat="1" applyFont="1" applyFill="1" applyBorder="1"/>
    <xf numFmtId="172" fontId="87" fillId="62" borderId="35" xfId="24" applyNumberFormat="1" applyFont="1" applyFill="1" applyBorder="1"/>
    <xf numFmtId="172" fontId="87" fillId="62" borderId="27" xfId="24" applyNumberFormat="1" applyFont="1" applyFill="1" applyBorder="1"/>
    <xf numFmtId="3" fontId="60" fillId="34" borderId="23" xfId="0" applyNumberFormat="1" applyFont="1" applyFill="1" applyBorder="1"/>
    <xf numFmtId="172" fontId="87" fillId="62" borderId="23" xfId="24" applyNumberFormat="1" applyFont="1" applyFill="1" applyBorder="1"/>
    <xf numFmtId="0" fontId="79" fillId="62" borderId="34" xfId="0" applyFont="1" applyFill="1" applyBorder="1" applyAlignment="1">
      <alignment horizontal="left" indent="1"/>
    </xf>
    <xf numFmtId="3" fontId="80" fillId="34" borderId="34" xfId="0" applyNumberFormat="1" applyFont="1" applyFill="1" applyBorder="1"/>
    <xf numFmtId="3" fontId="80" fillId="34" borderId="35" xfId="0" applyNumberFormat="1" applyFont="1" applyFill="1" applyBorder="1"/>
    <xf numFmtId="3" fontId="80" fillId="34" borderId="27" xfId="0" applyNumberFormat="1" applyFont="1" applyFill="1" applyBorder="1"/>
    <xf numFmtId="3" fontId="80" fillId="59" borderId="35" xfId="0" applyNumberFormat="1" applyFont="1" applyFill="1" applyBorder="1"/>
    <xf numFmtId="3" fontId="66" fillId="60" borderId="22" xfId="0" applyNumberFormat="1" applyFont="1" applyFill="1" applyBorder="1" applyAlignment="1">
      <alignment horizontal="left"/>
    </xf>
    <xf numFmtId="0" fontId="66" fillId="60" borderId="22" xfId="0" applyFont="1" applyFill="1" applyBorder="1" applyAlignment="1">
      <alignment horizontal="left"/>
    </xf>
    <xf numFmtId="10" fontId="60" fillId="60" borderId="22" xfId="24" applyNumberFormat="1" applyFont="1" applyFill="1" applyBorder="1" applyAlignment="1">
      <alignment horizontal="right"/>
    </xf>
    <xf numFmtId="10" fontId="60" fillId="60" borderId="0" xfId="24" applyNumberFormat="1" applyFont="1" applyFill="1" applyBorder="1" applyAlignment="1">
      <alignment horizontal="right"/>
    </xf>
    <xf numFmtId="10" fontId="60" fillId="60" borderId="23" xfId="24" applyNumberFormat="1" applyFont="1" applyFill="1" applyBorder="1" applyAlignment="1">
      <alignment horizontal="right"/>
    </xf>
    <xf numFmtId="0" fontId="60" fillId="2" borderId="0" xfId="0" applyFont="1" applyFill="1" applyBorder="1"/>
    <xf numFmtId="0" fontId="60" fillId="2" borderId="0" xfId="0" applyFont="1" applyFill="1"/>
    <xf numFmtId="9" fontId="61" fillId="62" borderId="23" xfId="0" applyNumberFormat="1" applyFont="1" applyFill="1" applyBorder="1"/>
    <xf numFmtId="10" fontId="60" fillId="60" borderId="34" xfId="24" applyNumberFormat="1" applyFont="1" applyFill="1" applyBorder="1" applyAlignment="1">
      <alignment horizontal="right"/>
    </xf>
    <xf numFmtId="10" fontId="60" fillId="60" borderId="35" xfId="24" applyNumberFormat="1" applyFont="1" applyFill="1" applyBorder="1" applyAlignment="1">
      <alignment horizontal="right"/>
    </xf>
    <xf numFmtId="10" fontId="60" fillId="60" borderId="27" xfId="24" applyNumberFormat="1" applyFont="1" applyFill="1" applyBorder="1" applyAlignment="1">
      <alignment horizontal="right"/>
    </xf>
    <xf numFmtId="3" fontId="66" fillId="60" borderId="23" xfId="0" applyNumberFormat="1" applyFont="1" applyFill="1" applyBorder="1" applyAlignment="1">
      <alignment horizontal="right"/>
    </xf>
    <xf numFmtId="10" fontId="60" fillId="60" borderId="29" xfId="24" applyNumberFormat="1" applyFont="1" applyFill="1" applyBorder="1" applyAlignment="1">
      <alignment horizontal="right"/>
    </xf>
    <xf numFmtId="0" fontId="66" fillId="60" borderId="36" xfId="0" applyFont="1" applyFill="1" applyBorder="1" applyAlignment="1">
      <alignment horizontal="left"/>
    </xf>
    <xf numFmtId="3" fontId="60" fillId="60" borderId="22" xfId="24" applyNumberFormat="1" applyFont="1" applyFill="1" applyBorder="1" applyAlignment="1">
      <alignment horizontal="right"/>
    </xf>
    <xf numFmtId="3" fontId="60" fillId="60" borderId="34" xfId="24" applyNumberFormat="1" applyFont="1" applyFill="1" applyBorder="1" applyAlignment="1">
      <alignment horizontal="right"/>
    </xf>
    <xf numFmtId="3" fontId="60" fillId="60" borderId="0" xfId="24" applyNumberFormat="1" applyFont="1" applyFill="1" applyBorder="1" applyAlignment="1">
      <alignment horizontal="right"/>
    </xf>
    <xf numFmtId="3" fontId="60" fillId="60" borderId="35" xfId="24" applyNumberFormat="1" applyFont="1" applyFill="1" applyBorder="1" applyAlignment="1">
      <alignment horizontal="right"/>
    </xf>
    <xf numFmtId="3" fontId="60" fillId="60" borderId="23" xfId="24" applyNumberFormat="1" applyFont="1" applyFill="1" applyBorder="1" applyAlignment="1">
      <alignment horizontal="right"/>
    </xf>
    <xf numFmtId="3" fontId="60" fillId="60" borderId="27" xfId="24" applyNumberFormat="1" applyFont="1" applyFill="1" applyBorder="1" applyAlignment="1">
      <alignment horizontal="right"/>
    </xf>
    <xf numFmtId="0" fontId="60" fillId="2" borderId="22" xfId="0" applyFont="1" applyFill="1" applyBorder="1"/>
    <xf numFmtId="172" fontId="60" fillId="60" borderId="28" xfId="24" applyNumberFormat="1" applyFont="1" applyFill="1" applyBorder="1" applyAlignment="1">
      <alignment horizontal="right"/>
    </xf>
    <xf numFmtId="172" fontId="60" fillId="60" borderId="32" xfId="24" applyNumberFormat="1" applyFont="1" applyFill="1" applyBorder="1" applyAlignment="1">
      <alignment horizontal="right"/>
    </xf>
    <xf numFmtId="172" fontId="60" fillId="60" borderId="22" xfId="24" applyNumberFormat="1" applyFont="1" applyFill="1" applyBorder="1" applyAlignment="1">
      <alignment horizontal="right"/>
    </xf>
    <xf numFmtId="172" fontId="60" fillId="60" borderId="0" xfId="24" applyNumberFormat="1" applyFont="1" applyFill="1" applyBorder="1" applyAlignment="1">
      <alignment horizontal="right"/>
    </xf>
    <xf numFmtId="172" fontId="60" fillId="60" borderId="34" xfId="24" applyNumberFormat="1" applyFont="1" applyFill="1" applyBorder="1" applyAlignment="1">
      <alignment horizontal="right"/>
    </xf>
    <xf numFmtId="172" fontId="60" fillId="60" borderId="35" xfId="24" applyNumberFormat="1" applyFont="1" applyFill="1" applyBorder="1" applyAlignment="1">
      <alignment horizontal="right"/>
    </xf>
    <xf numFmtId="172" fontId="60" fillId="60" borderId="29" xfId="24" applyNumberFormat="1" applyFont="1" applyFill="1" applyBorder="1" applyAlignment="1">
      <alignment horizontal="right"/>
    </xf>
    <xf numFmtId="172" fontId="60" fillId="60" borderId="23" xfId="24" applyNumberFormat="1" applyFont="1" applyFill="1" applyBorder="1" applyAlignment="1">
      <alignment horizontal="right"/>
    </xf>
    <xf numFmtId="172" fontId="60" fillId="60" borderId="27" xfId="24" applyNumberFormat="1" applyFont="1" applyFill="1" applyBorder="1" applyAlignment="1">
      <alignment horizontal="right"/>
    </xf>
    <xf numFmtId="3" fontId="66" fillId="60" borderId="31" xfId="0" applyNumberFormat="1" applyFont="1" applyFill="1" applyBorder="1" applyAlignment="1">
      <alignment horizontal="left"/>
    </xf>
    <xf numFmtId="0" fontId="65" fillId="61" borderId="30" xfId="0" applyFont="1" applyFill="1" applyBorder="1" applyAlignment="1">
      <alignment horizontal="right" vertical="top" wrapText="1"/>
    </xf>
    <xf numFmtId="0" fontId="60" fillId="59" borderId="0" xfId="0" applyFont="1" applyFill="1" applyBorder="1"/>
    <xf numFmtId="10" fontId="60" fillId="34" borderId="0" xfId="0" applyNumberFormat="1" applyFont="1" applyFill="1" applyBorder="1"/>
    <xf numFmtId="10" fontId="60" fillId="34" borderId="0" xfId="0" applyNumberFormat="1" applyFont="1" applyFill="1" applyBorder="1" applyAlignment="1">
      <alignment/>
    </xf>
    <xf numFmtId="181" fontId="60" fillId="62" borderId="22" xfId="0" applyNumberFormat="1" applyFont="1" applyFill="1" applyBorder="1" applyAlignment="1">
      <alignment horizontal="right"/>
    </xf>
    <xf numFmtId="182" fontId="60" fillId="2" borderId="0" xfId="0" applyNumberFormat="1" applyFont="1" applyFill="1"/>
    <xf numFmtId="3" fontId="60" fillId="2" borderId="23" xfId="0" applyNumberFormat="1" applyFont="1" applyFill="1" applyBorder="1" applyAlignment="1">
      <alignment horizontal="right"/>
    </xf>
    <xf numFmtId="3" fontId="60" fillId="60" borderId="22" xfId="0" applyNumberFormat="1" applyFont="1" applyFill="1" applyBorder="1" applyAlignment="1">
      <alignment horizontal="right"/>
    </xf>
    <xf numFmtId="3" fontId="60" fillId="60" borderId="0" xfId="0" applyNumberFormat="1" applyFont="1" applyFill="1" applyBorder="1" applyAlignment="1">
      <alignment horizontal="right"/>
    </xf>
    <xf numFmtId="0" fontId="67" fillId="2" borderId="33" xfId="0" applyFont="1" applyFill="1" applyBorder="1" applyAlignment="1">
      <alignment horizontal="left" indent="1"/>
    </xf>
    <xf numFmtId="0" fontId="61" fillId="2" borderId="33" xfId="0" applyFont="1" applyFill="1" applyBorder="1" applyAlignment="1">
      <alignment horizontal="left" indent="1"/>
    </xf>
    <xf numFmtId="0" fontId="60" fillId="62" borderId="23" xfId="0" applyFont="1" applyFill="1" applyBorder="1"/>
    <xf numFmtId="9" fontId="60" fillId="62" borderId="23" xfId="24" applyFont="1" applyFill="1" applyBorder="1" applyAlignment="1">
      <alignment horizontal="right"/>
    </xf>
    <xf numFmtId="0" fontId="60" fillId="2" borderId="23" xfId="0" applyFont="1" applyFill="1" applyBorder="1"/>
    <xf numFmtId="3" fontId="92" fillId="2" borderId="23" xfId="0" applyNumberFormat="1" applyFont="1" applyFill="1" applyBorder="1" applyAlignment="1">
      <alignment horizontal="right"/>
    </xf>
    <xf numFmtId="0" fontId="94" fillId="2" borderId="0" xfId="0" applyFont="1" applyFill="1"/>
    <xf numFmtId="10" fontId="60" fillId="34" borderId="0" xfId="24" applyNumberFormat="1" applyFont="1" applyFill="1" applyBorder="1"/>
    <xf numFmtId="176" fontId="77" fillId="63" borderId="0" xfId="0" applyNumberFormat="1" applyFont="1" applyFill="1" applyAlignment="1">
      <alignment horizontal="right" vertical="center"/>
    </xf>
    <xf numFmtId="175" fontId="60" fillId="34" borderId="0" xfId="0" applyNumberFormat="1" applyFont="1" applyFill="1" applyAlignment="1">
      <alignment horizontal="right"/>
    </xf>
    <xf numFmtId="0" fontId="94"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172" fontId="60" fillId="62" borderId="0" xfId="24" applyNumberFormat="1" applyFont="1" applyFill="1" applyBorder="1"/>
    <xf numFmtId="0" fontId="66" fillId="60" borderId="25" xfId="0" applyFont="1" applyFill="1" applyBorder="1" applyAlignment="1">
      <alignment horizontal="center"/>
    </xf>
    <xf numFmtId="175" fontId="60" fillId="34" borderId="0" xfId="0" applyNumberFormat="1" applyFont="1" applyFill="1" applyAlignment="1">
      <alignment horizontal="right"/>
    </xf>
    <xf numFmtId="0" fontId="66" fillId="60" borderId="24" xfId="0" applyFont="1" applyFill="1" applyBorder="1" applyAlignment="1">
      <alignment horizontal="right"/>
    </xf>
    <xf numFmtId="172" fontId="60" fillId="59" borderId="26" xfId="24" applyNumberFormat="1" applyFont="1" applyFill="1" applyBorder="1"/>
    <xf numFmtId="170" fontId="61" fillId="59" borderId="27" xfId="0" applyNumberFormat="1" applyFont="1" applyFill="1" applyBorder="1"/>
    <xf numFmtId="172" fontId="92" fillId="59" borderId="35" xfId="20" applyNumberFormat="1" applyFont="1" applyFill="1" applyBorder="1" applyAlignment="1">
      <alignment horizontal="right"/>
    </xf>
    <xf numFmtId="172" fontId="61" fillId="59" borderId="23" xfId="20" applyNumberFormat="1" applyFont="1" applyFill="1" applyBorder="1" applyAlignment="1">
      <alignment horizontal="right"/>
    </xf>
    <xf numFmtId="172" fontId="61" fillId="62" borderId="23" xfId="20" applyNumberFormat="1" applyFont="1" applyFill="1" applyBorder="1" applyAlignment="1">
      <alignment horizontal="right" vertical="center"/>
    </xf>
    <xf numFmtId="3" fontId="61" fillId="59" borderId="23" xfId="21" applyNumberFormat="1" applyFont="1" applyFill="1" applyBorder="1" applyAlignment="1">
      <alignment horizontal="right"/>
    </xf>
    <xf numFmtId="3" fontId="60" fillId="59" borderId="23" xfId="21" applyNumberFormat="1" applyFont="1" applyFill="1" applyBorder="1" applyAlignment="1">
      <alignment horizontal="right"/>
    </xf>
    <xf numFmtId="170" fontId="92" fillId="59" borderId="29" xfId="0" applyNumberFormat="1" applyFont="1" applyFill="1" applyBorder="1" applyAlignment="1">
      <alignment horizontal="right"/>
    </xf>
    <xf numFmtId="172" fontId="61" fillId="59" borderId="35" xfId="20" applyNumberFormat="1" applyFont="1" applyFill="1" applyBorder="1" applyAlignment="1">
      <alignment horizontal="right"/>
    </xf>
    <xf numFmtId="172" fontId="92" fillId="59" borderId="27" xfId="20" applyNumberFormat="1" applyFont="1" applyFill="1" applyBorder="1" applyAlignment="1">
      <alignment horizontal="right"/>
    </xf>
    <xf numFmtId="172" fontId="64" fillId="62" borderId="32" xfId="26" applyNumberFormat="1" applyFont="1" applyFill="1" applyBorder="1"/>
    <xf numFmtId="172" fontId="64" fillId="62" borderId="29" xfId="26" applyNumberFormat="1" applyFont="1" applyFill="1" applyBorder="1"/>
    <xf numFmtId="172" fontId="61" fillId="59" borderId="23" xfId="24" applyNumberFormat="1" applyFont="1" applyFill="1" applyBorder="1" applyAlignment="1">
      <alignment horizontal="right"/>
    </xf>
    <xf numFmtId="172" fontId="61" fillId="59" borderId="27" xfId="24" applyNumberFormat="1" applyFont="1" applyFill="1" applyBorder="1" applyAlignment="1">
      <alignment horizontal="right"/>
    </xf>
    <xf numFmtId="177" fontId="69" fillId="59" borderId="23" xfId="0" applyNumberFormat="1" applyFont="1" applyFill="1" applyBorder="1" applyAlignment="1">
      <alignment horizontal="right"/>
    </xf>
    <xf numFmtId="173" fontId="67" fillId="59" borderId="23" xfId="25" applyNumberFormat="1" applyFont="1" applyFill="1" applyBorder="1" applyAlignment="1">
      <alignment horizontal="right"/>
    </xf>
    <xf numFmtId="0" fontId="69" fillId="62" borderId="23" xfId="0" applyFont="1" applyFill="1" applyBorder="1"/>
    <xf numFmtId="177" fontId="80" fillId="59" borderId="23" xfId="0" applyNumberFormat="1" applyFont="1" applyFill="1" applyBorder="1" applyAlignment="1">
      <alignment horizontal="right"/>
    </xf>
    <xf numFmtId="173" fontId="69" fillId="59" borderId="23" xfId="20" applyNumberFormat="1" applyFont="1" applyFill="1" applyBorder="1" applyAlignment="1">
      <alignment horizontal="right"/>
    </xf>
    <xf numFmtId="174" fontId="69" fillId="59" borderId="23" xfId="20" applyNumberFormat="1" applyFont="1" applyFill="1" applyBorder="1" applyAlignment="1">
      <alignment horizontal="right"/>
    </xf>
    <xf numFmtId="174" fontId="67" fillId="59" borderId="23" xfId="20" applyNumberFormat="1" applyFont="1" applyFill="1" applyBorder="1" applyAlignment="1">
      <alignment horizontal="right"/>
    </xf>
    <xf numFmtId="10" fontId="64" fillId="62" borderId="23" xfId="26" applyNumberFormat="1" applyFont="1" applyFill="1" applyBorder="1"/>
    <xf numFmtId="169" fontId="64" fillId="59" borderId="27" xfId="20" applyNumberFormat="1" applyFont="1" applyFill="1" applyBorder="1" applyAlignment="1">
      <alignment horizontal="right"/>
    </xf>
    <xf numFmtId="172" fontId="80" fillId="59" borderId="23" xfId="20" applyNumberFormat="1" applyFont="1" applyFill="1" applyBorder="1" applyAlignment="1">
      <alignment horizontal="right" vertical="center"/>
    </xf>
    <xf numFmtId="182" fontId="80" fillId="59" borderId="0" xfId="24" applyNumberFormat="1" applyFont="1" applyFill="1" applyBorder="1" applyAlignment="1">
      <alignment horizontal="right"/>
    </xf>
    <xf numFmtId="0" fontId="64" fillId="62" borderId="36" xfId="0" applyFont="1" applyFill="1" applyBorder="1" applyAlignment="1">
      <alignment horizontal="left" indent="1"/>
    </xf>
    <xf numFmtId="170" fontId="60" fillId="59" borderId="23" xfId="0" applyNumberFormat="1" applyFont="1" applyFill="1" applyBorder="1"/>
    <xf numFmtId="170" fontId="60" fillId="34" borderId="26" xfId="0" applyNumberFormat="1" applyFont="1" applyFill="1" applyBorder="1"/>
    <xf numFmtId="0" fontId="60" fillId="62" borderId="0" xfId="0" applyFont="1" applyFill="1" applyBorder="1" applyAlignment="1">
      <alignment vertical="top"/>
    </xf>
    <xf numFmtId="172" fontId="67" fillId="59" borderId="35" xfId="24" applyNumberFormat="1" applyFont="1" applyFill="1" applyBorder="1" applyAlignment="1">
      <alignment horizontal="right" wrapText="1"/>
    </xf>
    <xf numFmtId="9" fontId="100" fillId="59" borderId="29" xfId="24" applyFont="1" applyFill="1" applyBorder="1"/>
    <xf numFmtId="172" fontId="67" fillId="59" borderId="27" xfId="24" applyNumberFormat="1" applyFont="1" applyFill="1" applyBorder="1" applyAlignment="1">
      <alignment horizontal="right" wrapText="1"/>
    </xf>
    <xf numFmtId="172" fontId="92" fillId="59" borderId="23" xfId="24" applyNumberFormat="1" applyFont="1" applyFill="1" applyBorder="1" applyAlignment="1">
      <alignment horizontal="right"/>
    </xf>
    <xf numFmtId="172" fontId="92" fillId="59" borderId="27" xfId="24" applyNumberFormat="1" applyFont="1" applyFill="1" applyBorder="1" applyAlignment="1">
      <alignment horizontal="right"/>
    </xf>
    <xf numFmtId="9" fontId="67" fillId="34" borderId="29" xfId="24" applyNumberFormat="1" applyFont="1" applyFill="1" applyBorder="1"/>
    <xf numFmtId="9" fontId="67" fillId="59" borderId="0" xfId="24" applyFont="1" applyFill="1" applyBorder="1"/>
    <xf numFmtId="9" fontId="67" fillId="59" borderId="29" xfId="24" applyFont="1" applyFill="1" applyBorder="1"/>
    <xf numFmtId="3" fontId="61" fillId="59" borderId="23" xfId="0" applyNumberFormat="1" applyFont="1" applyFill="1" applyBorder="1"/>
    <xf numFmtId="172" fontId="102" fillId="59" borderId="23" xfId="24" applyNumberFormat="1" applyFont="1" applyFill="1" applyBorder="1"/>
    <xf numFmtId="3" fontId="102" fillId="59" borderId="23" xfId="0" applyNumberFormat="1" applyFont="1" applyFill="1" applyBorder="1"/>
    <xf numFmtId="172" fontId="87" fillId="59" borderId="23" xfId="24" applyNumberFormat="1" applyFont="1" applyFill="1" applyBorder="1"/>
    <xf numFmtId="174" fontId="60" fillId="59" borderId="23" xfId="20" applyNumberFormat="1" applyFont="1" applyFill="1" applyBorder="1"/>
    <xf numFmtId="1" fontId="60" fillId="59" borderId="23" xfId="0" applyNumberFormat="1" applyFont="1" applyFill="1" applyBorder="1"/>
    <xf numFmtId="3" fontId="60" fillId="59" borderId="27" xfId="0" applyNumberFormat="1" applyFont="1" applyFill="1" applyBorder="1"/>
    <xf numFmtId="172" fontId="60" fillId="0" borderId="0" xfId="0" applyNumberFormat="1" applyFont="1"/>
    <xf numFmtId="10" fontId="66" fillId="60" borderId="35" xfId="0" applyNumberFormat="1" applyFont="1" applyFill="1" applyBorder="1" applyAlignment="1">
      <alignment horizontal="right"/>
    </xf>
    <xf numFmtId="10" fontId="60" fillId="60" borderId="32" xfId="24" applyNumberFormat="1" applyFont="1" applyFill="1" applyBorder="1" applyAlignment="1">
      <alignment horizontal="right"/>
    </xf>
    <xf numFmtId="10" fontId="60" fillId="60" borderId="35" xfId="0" applyNumberFormat="1" applyFont="1" applyFill="1" applyBorder="1" applyAlignment="1">
      <alignment horizontal="right"/>
    </xf>
    <xf numFmtId="9" fontId="60" fillId="2" borderId="23" xfId="24" applyFont="1" applyFill="1" applyBorder="1" applyAlignment="1">
      <alignment horizontal="right"/>
    </xf>
    <xf numFmtId="10" fontId="66" fillId="60" borderId="23" xfId="24" applyNumberFormat="1" applyFont="1" applyFill="1" applyBorder="1" applyAlignment="1">
      <alignment horizontal="right"/>
    </xf>
    <xf numFmtId="0" fontId="66" fillId="60" borderId="34" xfId="0" applyFont="1" applyFill="1" applyBorder="1" applyAlignment="1">
      <alignment horizontal="left" indent="1"/>
    </xf>
    <xf numFmtId="10" fontId="66" fillId="60" borderId="34" xfId="0" applyNumberFormat="1" applyFont="1" applyFill="1" applyBorder="1" applyAlignment="1">
      <alignment horizontal="right"/>
    </xf>
    <xf numFmtId="10" fontId="66" fillId="60" borderId="27" xfId="0" applyNumberFormat="1" applyFont="1" applyFill="1" applyBorder="1" applyAlignment="1">
      <alignment horizontal="right"/>
    </xf>
    <xf numFmtId="0" fontId="66" fillId="60" borderId="34" xfId="0" applyFont="1" applyFill="1" applyBorder="1" applyAlignment="1">
      <alignment horizontal="left"/>
    </xf>
    <xf numFmtId="10" fontId="60" fillId="60" borderId="34" xfId="0" applyNumberFormat="1" applyFont="1" applyFill="1" applyBorder="1" applyAlignment="1">
      <alignment horizontal="right"/>
    </xf>
    <xf numFmtId="10" fontId="60" fillId="60" borderId="27" xfId="0" applyNumberFormat="1" applyFont="1" applyFill="1" applyBorder="1" applyAlignment="1">
      <alignment horizontal="right"/>
    </xf>
    <xf numFmtId="3" fontId="66" fillId="60" borderId="28" xfId="0" applyNumberFormat="1" applyFont="1" applyFill="1" applyBorder="1" applyAlignment="1">
      <alignment horizontal="left"/>
    </xf>
    <xf numFmtId="3" fontId="60" fillId="60" borderId="28" xfId="0" applyNumberFormat="1" applyFont="1" applyFill="1" applyBorder="1" applyAlignment="1">
      <alignment horizontal="right"/>
    </xf>
    <xf numFmtId="3" fontId="60" fillId="60" borderId="32" xfId="0" applyNumberFormat="1" applyFont="1" applyFill="1" applyBorder="1" applyAlignment="1">
      <alignment horizontal="right"/>
    </xf>
    <xf numFmtId="3" fontId="60" fillId="60" borderId="29" xfId="0" applyNumberFormat="1" applyFont="1" applyFill="1" applyBorder="1" applyAlignment="1">
      <alignment horizontal="right"/>
    </xf>
    <xf numFmtId="3" fontId="60" fillId="60" borderId="23" xfId="0" applyNumberFormat="1" applyFont="1" applyFill="1" applyBorder="1" applyAlignment="1">
      <alignment horizontal="right"/>
    </xf>
    <xf numFmtId="3" fontId="60" fillId="60" borderId="34" xfId="0" applyNumberFormat="1" applyFont="1" applyFill="1" applyBorder="1" applyAlignment="1">
      <alignment horizontal="right"/>
    </xf>
    <xf numFmtId="3" fontId="60" fillId="60" borderId="35" xfId="0" applyNumberFormat="1" applyFont="1" applyFill="1" applyBorder="1" applyAlignment="1">
      <alignment horizontal="right"/>
    </xf>
    <xf numFmtId="3" fontId="60" fillId="60" borderId="27" xfId="0" applyNumberFormat="1" applyFont="1" applyFill="1" applyBorder="1" applyAlignment="1">
      <alignment horizontal="right"/>
    </xf>
    <xf numFmtId="0" fontId="94" fillId="60" borderId="25" xfId="0" applyFont="1" applyFill="1" applyBorder="1" applyAlignment="1">
      <alignment/>
    </xf>
    <xf numFmtId="0" fontId="94" fillId="60" borderId="26" xfId="0" applyFont="1" applyFill="1" applyBorder="1" applyAlignment="1">
      <alignment/>
    </xf>
    <xf numFmtId="0" fontId="60" fillId="2" borderId="33" xfId="0" applyFont="1" applyFill="1" applyBorder="1"/>
    <xf numFmtId="0" fontId="83" fillId="62" borderId="33" xfId="0" applyFont="1" applyFill="1" applyBorder="1" applyAlignment="1">
      <alignment horizontal="left" indent="1"/>
    </xf>
    <xf numFmtId="0" fontId="66" fillId="62" borderId="33" xfId="0" applyFont="1" applyFill="1" applyBorder="1" applyAlignment="1">
      <alignment horizontal="left" indent="1"/>
    </xf>
    <xf numFmtId="0" fontId="60" fillId="2" borderId="0" xfId="0" applyFont="1" applyFill="1" applyBorder="1" applyAlignment="1">
      <alignment vertical="top" wrapText="1"/>
    </xf>
    <xf numFmtId="172" fontId="60" fillId="62" borderId="23" xfId="0" applyNumberFormat="1" applyFont="1" applyFill="1" applyBorder="1"/>
    <xf numFmtId="3" fontId="60" fillId="62" borderId="32" xfId="0" applyNumberFormat="1" applyFont="1" applyFill="1" applyBorder="1" applyAlignment="1">
      <alignment horizontal="right"/>
    </xf>
    <xf numFmtId="3" fontId="92" fillId="62" borderId="22" xfId="0" applyNumberFormat="1" applyFont="1" applyFill="1" applyBorder="1" applyAlignment="1">
      <alignment horizontal="right"/>
    </xf>
    <xf numFmtId="3" fontId="92" fillId="62" borderId="0" xfId="0" applyNumberFormat="1" applyFont="1" applyFill="1" applyBorder="1" applyAlignment="1">
      <alignment horizontal="right"/>
    </xf>
    <xf numFmtId="3" fontId="92" fillId="62" borderId="23" xfId="0" applyNumberFormat="1" applyFont="1" applyFill="1" applyBorder="1" applyAlignment="1">
      <alignment horizontal="right"/>
    </xf>
    <xf numFmtId="0" fontId="83" fillId="62" borderId="33" xfId="0" applyFont="1" applyFill="1" applyBorder="1" applyAlignment="1">
      <alignment horizontal="left"/>
    </xf>
    <xf numFmtId="172" fontId="60" fillId="62" borderId="0" xfId="0" applyNumberFormat="1" applyFont="1" applyFill="1" applyBorder="1" applyAlignment="1">
      <alignment horizontal="right"/>
    </xf>
    <xf numFmtId="175" fontId="60" fillId="34" borderId="0" xfId="0" applyNumberFormat="1" applyFont="1" applyFill="1" applyAlignment="1">
      <alignment horizontal="right"/>
    </xf>
    <xf numFmtId="1" fontId="9" fillId="61" borderId="25" xfId="0" applyNumberFormat="1" applyFont="1" applyFill="1" applyBorder="1" applyAlignment="1">
      <alignment horizontal="center"/>
    </xf>
    <xf numFmtId="0" fontId="66" fillId="60" borderId="25" xfId="0" applyFont="1" applyFill="1" applyBorder="1" applyAlignment="1">
      <alignment/>
    </xf>
    <xf numFmtId="9" fontId="61" fillId="2" borderId="23" xfId="24" applyFont="1" applyFill="1" applyBorder="1" applyAlignment="1">
      <alignment vertical="center" wrapText="1"/>
    </xf>
    <xf numFmtId="172" fontId="61" fillId="2" borderId="23" xfId="24" applyNumberFormat="1" applyFont="1" applyFill="1" applyBorder="1" applyAlignment="1">
      <alignment vertical="center" wrapText="1"/>
    </xf>
    <xf numFmtId="3" fontId="61" fillId="62" borderId="23" xfId="0" applyNumberFormat="1" applyFont="1" applyFill="1" applyBorder="1" applyAlignment="1">
      <alignment horizontal="right"/>
    </xf>
    <xf numFmtId="0" fontId="97" fillId="60" borderId="25" xfId="0" applyFont="1" applyFill="1" applyBorder="1" applyAlignment="1">
      <alignment horizontal="center"/>
    </xf>
    <xf numFmtId="0" fontId="60" fillId="2" borderId="22" xfId="0" applyFont="1" applyFill="1" applyBorder="1" applyAlignment="1">
      <alignment horizontal="left" indent="1"/>
    </xf>
    <xf numFmtId="10" fontId="60" fillId="2" borderId="0" xfId="0" applyNumberFormat="1" applyFont="1" applyFill="1" applyBorder="1" applyAlignment="1">
      <alignment horizontal="right"/>
    </xf>
    <xf numFmtId="9" fontId="60" fillId="62" borderId="23" xfId="0" applyNumberFormat="1" applyFont="1" applyFill="1" applyBorder="1"/>
    <xf numFmtId="0" fontId="66" fillId="60" borderId="34" xfId="0" applyFont="1" applyFill="1" applyBorder="1" applyAlignment="1">
      <alignment/>
    </xf>
    <xf numFmtId="0" fontId="94" fillId="60" borderId="35" xfId="0" applyFont="1" applyFill="1" applyBorder="1" applyAlignment="1">
      <alignment horizontal="left"/>
    </xf>
    <xf numFmtId="0" fontId="66" fillId="60" borderId="35" xfId="0" applyFont="1" applyFill="1" applyBorder="1" applyAlignment="1">
      <alignment horizontal="center"/>
    </xf>
    <xf numFmtId="0" fontId="97" fillId="60" borderId="27" xfId="0" applyFont="1" applyFill="1" applyBorder="1" applyAlignment="1">
      <alignment horizontal="center"/>
    </xf>
    <xf numFmtId="10" fontId="66" fillId="60" borderId="34" xfId="24" applyNumberFormat="1" applyFont="1" applyFill="1" applyBorder="1" applyAlignment="1">
      <alignment horizontal="right"/>
    </xf>
    <xf numFmtId="10" fontId="66" fillId="60" borderId="35" xfId="24" applyNumberFormat="1" applyFont="1" applyFill="1" applyBorder="1" applyAlignment="1">
      <alignment horizontal="right"/>
    </xf>
    <xf numFmtId="10" fontId="66" fillId="60" borderId="27" xfId="24" applyNumberFormat="1" applyFont="1" applyFill="1" applyBorder="1" applyAlignment="1">
      <alignment horizontal="right"/>
    </xf>
    <xf numFmtId="0" fontId="97" fillId="60" borderId="35" xfId="0" applyFont="1" applyFill="1" applyBorder="1" applyAlignment="1">
      <alignment horizontal="center"/>
    </xf>
    <xf numFmtId="10" fontId="60" fillId="57" borderId="0" xfId="24" applyNumberFormat="1" applyFont="1" applyFill="1" applyBorder="1" applyAlignment="1">
      <alignment horizontal="right"/>
    </xf>
    <xf numFmtId="10" fontId="60" fillId="57" borderId="32" xfId="24" applyNumberFormat="1" applyFont="1" applyFill="1" applyBorder="1" applyAlignment="1">
      <alignment horizontal="right"/>
    </xf>
    <xf numFmtId="3" fontId="60" fillId="57" borderId="0" xfId="0" applyNumberFormat="1" applyFont="1" applyFill="1" applyBorder="1" applyAlignment="1">
      <alignment horizontal="right"/>
    </xf>
    <xf numFmtId="10" fontId="60" fillId="57" borderId="35" xfId="24" applyNumberFormat="1" applyFont="1" applyFill="1" applyBorder="1" applyAlignment="1">
      <alignment horizontal="right"/>
    </xf>
    <xf numFmtId="10" fontId="60" fillId="56" borderId="0" xfId="24" applyNumberFormat="1" applyFont="1" applyFill="1" applyBorder="1" applyAlignment="1">
      <alignment horizontal="right"/>
    </xf>
    <xf numFmtId="10" fontId="60" fillId="56" borderId="32" xfId="24" applyNumberFormat="1" applyFont="1" applyFill="1" applyBorder="1" applyAlignment="1">
      <alignment horizontal="right"/>
    </xf>
    <xf numFmtId="3" fontId="60" fillId="56" borderId="0" xfId="0" applyNumberFormat="1" applyFont="1" applyFill="1" applyBorder="1" applyAlignment="1">
      <alignment horizontal="right"/>
    </xf>
    <xf numFmtId="10" fontId="60" fillId="56" borderId="35" xfId="24" applyNumberFormat="1" applyFont="1" applyFill="1" applyBorder="1" applyAlignment="1">
      <alignment horizontal="right"/>
    </xf>
    <xf numFmtId="10" fontId="60" fillId="57" borderId="29" xfId="24" applyNumberFormat="1" applyFont="1" applyFill="1" applyBorder="1" applyAlignment="1">
      <alignment horizontal="right"/>
    </xf>
    <xf numFmtId="10" fontId="60" fillId="57" borderId="23" xfId="24" applyNumberFormat="1" applyFont="1" applyFill="1" applyBorder="1" applyAlignment="1">
      <alignment horizontal="right"/>
    </xf>
    <xf numFmtId="3" fontId="60" fillId="57" borderId="23" xfId="0" applyNumberFormat="1" applyFont="1" applyFill="1" applyBorder="1" applyAlignment="1">
      <alignment horizontal="right"/>
    </xf>
    <xf numFmtId="10" fontId="60" fillId="57" borderId="27" xfId="24" applyNumberFormat="1" applyFont="1" applyFill="1" applyBorder="1" applyAlignment="1">
      <alignment horizontal="right"/>
    </xf>
    <xf numFmtId="10" fontId="60" fillId="62" borderId="22" xfId="24" applyNumberFormat="1" applyFont="1" applyFill="1" applyBorder="1" applyAlignment="1">
      <alignment horizontal="right"/>
    </xf>
    <xf numFmtId="10" fontId="60" fillId="62" borderId="0" xfId="24" applyNumberFormat="1" applyFont="1" applyFill="1" applyBorder="1" applyAlignment="1">
      <alignment horizontal="right"/>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10" fontId="60" fillId="62" borderId="34" xfId="24" applyNumberFormat="1" applyFont="1" applyFill="1" applyBorder="1" applyAlignment="1">
      <alignment horizontal="right"/>
    </xf>
    <xf numFmtId="10" fontId="60" fillId="62" borderId="35" xfId="24" applyNumberFormat="1" applyFont="1" applyFill="1" applyBorder="1" applyAlignment="1">
      <alignment horizontal="right"/>
    </xf>
    <xf numFmtId="0" fontId="66" fillId="62" borderId="22" xfId="0" applyFont="1" applyFill="1" applyBorder="1" applyAlignment="1">
      <alignment horizontal="left"/>
    </xf>
    <xf numFmtId="174" fontId="60" fillId="62" borderId="23" xfId="20" applyNumberFormat="1" applyFont="1" applyFill="1" applyBorder="1" applyAlignment="1">
      <alignment horizontal="right"/>
    </xf>
    <xf numFmtId="3" fontId="66" fillId="2" borderId="22" xfId="0" applyNumberFormat="1" applyFont="1" applyFill="1" applyBorder="1" applyAlignment="1">
      <alignment horizontal="right"/>
    </xf>
    <xf numFmtId="3" fontId="66" fillId="2" borderId="0" xfId="0" applyNumberFormat="1" applyFont="1" applyFill="1" applyBorder="1" applyAlignment="1">
      <alignment horizontal="right"/>
    </xf>
    <xf numFmtId="3" fontId="66" fillId="2" borderId="23" xfId="0" applyNumberFormat="1" applyFont="1" applyFill="1" applyBorder="1" applyAlignment="1">
      <alignment horizontal="right"/>
    </xf>
    <xf numFmtId="0" fontId="66" fillId="2" borderId="0" xfId="0" applyFont="1" applyFill="1"/>
    <xf numFmtId="0" fontId="60" fillId="62" borderId="33" xfId="0" applyFont="1" applyFill="1" applyBorder="1" applyAlignment="1">
      <alignment horizontal="left" indent="1"/>
    </xf>
    <xf numFmtId="3" fontId="60" fillId="2" borderId="0" xfId="0" applyNumberFormat="1" applyFont="1" applyFill="1" applyBorder="1" applyAlignment="1">
      <alignment horizontal="right"/>
    </xf>
    <xf numFmtId="3" fontId="60" fillId="2" borderId="23" xfId="0" applyNumberFormat="1" applyFont="1" applyFill="1" applyBorder="1" applyAlignment="1">
      <alignment horizontal="right"/>
    </xf>
    <xf numFmtId="0" fontId="66" fillId="62" borderId="22" xfId="0" applyFont="1" applyFill="1" applyBorder="1" applyAlignment="1">
      <alignment horizontal="left" indent="1"/>
    </xf>
    <xf numFmtId="3" fontId="66" fillId="62" borderId="22" xfId="0" applyNumberFormat="1" applyFont="1" applyFill="1" applyBorder="1" applyAlignment="1">
      <alignment horizontal="right"/>
    </xf>
    <xf numFmtId="3" fontId="66" fillId="62" borderId="0" xfId="0" applyNumberFormat="1" applyFont="1" applyFill="1" applyBorder="1" applyAlignment="1">
      <alignment horizontal="right"/>
    </xf>
    <xf numFmtId="0" fontId="66" fillId="62" borderId="33" xfId="0" applyFont="1" applyFill="1" applyBorder="1" applyAlignment="1">
      <alignment horizontal="left" indent="1"/>
    </xf>
    <xf numFmtId="3" fontId="66" fillId="62" borderId="23" xfId="0" applyNumberFormat="1" applyFont="1" applyFill="1" applyBorder="1" applyAlignment="1">
      <alignment horizontal="right"/>
    </xf>
    <xf numFmtId="0" fontId="106" fillId="62" borderId="33" xfId="0" applyFont="1" applyFill="1" applyBorder="1" applyAlignment="1">
      <alignment horizontal="left"/>
    </xf>
    <xf numFmtId="172" fontId="60" fillId="62" borderId="23" xfId="24" applyNumberFormat="1" applyFont="1" applyFill="1" applyBorder="1" applyAlignment="1">
      <alignment horizontal="right"/>
    </xf>
    <xf numFmtId="0" fontId="65" fillId="61" borderId="0" xfId="0" applyFont="1" applyFill="1" applyBorder="1" applyAlignment="1">
      <alignment horizontal="right" vertical="top" wrapText="1"/>
    </xf>
    <xf numFmtId="0" fontId="66" fillId="62" borderId="0" xfId="0" applyFont="1" applyFill="1" applyBorder="1"/>
    <xf numFmtId="0" fontId="60" fillId="60" borderId="0" xfId="0" applyFont="1" applyFill="1" applyBorder="1"/>
    <xf numFmtId="10" fontId="65" fillId="61" borderId="0" xfId="0" applyNumberFormat="1" applyFont="1" applyFill="1" applyBorder="1"/>
    <xf numFmtId="10" fontId="65" fillId="62" borderId="0" xfId="0" applyNumberFormat="1" applyFont="1" applyFill="1" applyBorder="1"/>
    <xf numFmtId="10" fontId="60" fillId="59" borderId="23"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3" xfId="0" applyFont="1" applyFill="1" applyBorder="1" applyAlignment="1">
      <alignment vertical="top" wrapText="1"/>
    </xf>
    <xf numFmtId="0" fontId="66" fillId="62" borderId="23" xfId="0" applyFont="1" applyFill="1" applyBorder="1" applyAlignment="1">
      <alignment wrapText="1"/>
    </xf>
    <xf numFmtId="10" fontId="60" fillId="60" borderId="23" xfId="0" applyNumberFormat="1" applyFont="1" applyFill="1" applyBorder="1"/>
    <xf numFmtId="3" fontId="60" fillId="56" borderId="0" xfId="0" applyNumberFormat="1" applyFont="1" applyFill="1" applyBorder="1" applyAlignment="1">
      <alignment horizontal="right"/>
    </xf>
    <xf numFmtId="3" fontId="60" fillId="56" borderId="32" xfId="0" applyNumberFormat="1" applyFont="1" applyFill="1" applyBorder="1" applyAlignment="1">
      <alignment horizontal="right"/>
    </xf>
    <xf numFmtId="9" fontId="60" fillId="56" borderId="0" xfId="24" applyFont="1" applyFill="1" applyBorder="1" applyAlignment="1">
      <alignment horizontal="right"/>
    </xf>
    <xf numFmtId="172" fontId="60" fillId="56" borderId="0" xfId="0" applyNumberFormat="1" applyFont="1" applyFill="1" applyBorder="1"/>
    <xf numFmtId="3" fontId="60" fillId="44" borderId="32" xfId="0" applyNumberFormat="1" applyFont="1" applyFill="1" applyBorder="1" applyAlignment="1">
      <alignment horizontal="right"/>
    </xf>
    <xf numFmtId="3" fontId="60" fillId="44" borderId="29" xfId="0" applyNumberFormat="1" applyFont="1" applyFill="1" applyBorder="1" applyAlignment="1">
      <alignment horizontal="right"/>
    </xf>
    <xf numFmtId="3" fontId="60" fillId="44" borderId="0" xfId="0" applyNumberFormat="1" applyFont="1" applyFill="1" applyBorder="1" applyAlignment="1">
      <alignment horizontal="right"/>
    </xf>
    <xf numFmtId="3" fontId="60" fillId="44" borderId="23" xfId="0" applyNumberFormat="1" applyFont="1" applyFill="1" applyBorder="1" applyAlignment="1">
      <alignment horizontal="right"/>
    </xf>
    <xf numFmtId="9" fontId="60" fillId="44" borderId="0" xfId="24" applyFont="1" applyFill="1" applyBorder="1" applyAlignment="1">
      <alignment horizontal="right"/>
    </xf>
    <xf numFmtId="9" fontId="60" fillId="44" borderId="23" xfId="24" applyFont="1" applyFill="1" applyBorder="1" applyAlignment="1">
      <alignment horizontal="right"/>
    </xf>
    <xf numFmtId="172" fontId="60" fillId="44" borderId="0" xfId="0" applyNumberFormat="1" applyFont="1" applyFill="1" applyBorder="1"/>
    <xf numFmtId="172" fontId="60" fillId="44" borderId="23" xfId="0" applyNumberFormat="1" applyFont="1" applyFill="1" applyBorder="1"/>
    <xf numFmtId="10" fontId="60" fillId="65" borderId="0" xfId="24" applyNumberFormat="1" applyFont="1" applyFill="1" applyBorder="1"/>
    <xf numFmtId="49" fontId="60" fillId="2" borderId="0" xfId="0" applyNumberFormat="1" applyFont="1" applyFill="1" applyAlignment="1">
      <alignment horizontal="left" vertical="center" wrapText="1" indent="1"/>
    </xf>
    <xf numFmtId="0" fontId="60" fillId="2" borderId="0" xfId="0" applyFont="1" applyFill="1" applyAlignment="1">
      <alignment horizontal="left" vertical="center" wrapText="1" indent="1"/>
    </xf>
    <xf numFmtId="49" fontId="72" fillId="2" borderId="0" xfId="22" applyNumberFormat="1" applyFont="1" applyFill="1" applyAlignment="1" applyProtection="1">
      <alignment horizontal="left" vertical="center" indent="1"/>
      <protection/>
    </xf>
    <xf numFmtId="11" fontId="60" fillId="2" borderId="0" xfId="0" applyNumberFormat="1" applyFont="1" applyFill="1" applyAlignment="1">
      <alignment horizontal="left" vertical="center" wrapText="1" indent="1"/>
    </xf>
    <xf numFmtId="11" fontId="60" fillId="2" borderId="0" xfId="0" applyNumberFormat="1" applyFont="1" applyFill="1" applyAlignment="1">
      <alignment horizontal="left" wrapText="1" indent="1"/>
    </xf>
    <xf numFmtId="11" fontId="64" fillId="62" borderId="0" xfId="0" applyNumberFormat="1" applyFont="1" applyFill="1" applyAlignment="1">
      <alignment horizontal="left" vertical="center" wrapText="1" indent="1"/>
    </xf>
    <xf numFmtId="11" fontId="60" fillId="62" borderId="0" xfId="0" applyNumberFormat="1" applyFont="1" applyFill="1" applyAlignment="1">
      <alignment horizontal="left" vertical="center" wrapText="1" indent="1"/>
    </xf>
    <xf numFmtId="49" fontId="60" fillId="62" borderId="0" xfId="0" applyNumberFormat="1" applyFont="1" applyFill="1" applyAlignment="1">
      <alignment horizontal="left" vertical="center" wrapText="1" indent="1"/>
    </xf>
    <xf numFmtId="49" fontId="64" fillId="62" borderId="0" xfId="0" applyNumberFormat="1" applyFont="1" applyFill="1" applyAlignment="1">
      <alignment horizontal="left" vertical="center" wrapText="1" indent="1"/>
    </xf>
    <xf numFmtId="49" fontId="60" fillId="2" borderId="0" xfId="0" applyNumberFormat="1" applyFont="1" applyFill="1" applyAlignment="1">
      <alignment horizontal="left" wrapText="1" indent="1"/>
    </xf>
    <xf numFmtId="175" fontId="60" fillId="63" borderId="0" xfId="0" applyNumberFormat="1" applyFont="1" applyFill="1" applyAlignment="1">
      <alignment horizontal="right"/>
    </xf>
    <xf numFmtId="49" fontId="60" fillId="2" borderId="0" xfId="0" applyNumberFormat="1" applyFont="1" applyFill="1" applyAlignment="1">
      <alignment horizontal="left" vertical="center" wrapText="1"/>
    </xf>
    <xf numFmtId="49" fontId="63" fillId="2" borderId="0" xfId="0" applyNumberFormat="1" applyFont="1" applyFill="1" applyAlignment="1">
      <alignment horizontal="center"/>
    </xf>
    <xf numFmtId="0" fontId="61" fillId="62" borderId="0" xfId="0" applyFont="1" applyFill="1" applyAlignment="1">
      <alignment horizontal="left" vertical="top" wrapText="1"/>
    </xf>
    <xf numFmtId="0" fontId="61" fillId="62" borderId="0" xfId="0" applyFont="1" applyFill="1" applyBorder="1" applyAlignment="1">
      <alignment horizontal="left" vertical="top" wrapText="1"/>
    </xf>
    <xf numFmtId="0" fontId="61" fillId="62" borderId="22" xfId="0" applyFont="1" applyFill="1" applyBorder="1" applyAlignment="1">
      <alignment horizontal="left" vertical="top" wrapText="1"/>
    </xf>
    <xf numFmtId="0" fontId="60" fillId="62" borderId="22" xfId="0" applyFont="1" applyFill="1" applyBorder="1" applyAlignment="1">
      <alignment horizontal="left" vertical="top" wrapText="1"/>
    </xf>
    <xf numFmtId="0" fontId="60" fillId="62" borderId="0" xfId="0" applyFont="1" applyFill="1" applyBorder="1" applyAlignment="1">
      <alignment horizontal="left" vertical="top" wrapText="1"/>
    </xf>
    <xf numFmtId="176" fontId="77" fillId="63" borderId="0" xfId="0" applyNumberFormat="1" applyFont="1" applyFill="1" applyAlignment="1">
      <alignment horizontal="right" vertical="center"/>
    </xf>
    <xf numFmtId="0" fontId="60" fillId="62" borderId="32" xfId="0" applyFont="1" applyFill="1" applyBorder="1" applyAlignment="1">
      <alignment horizontal="left" vertical="top" wrapText="1"/>
    </xf>
    <xf numFmtId="0" fontId="83" fillId="62" borderId="22" xfId="0" applyFont="1" applyFill="1" applyBorder="1" applyAlignment="1">
      <alignment horizontal="left" vertical="top" wrapText="1"/>
    </xf>
    <xf numFmtId="0" fontId="64" fillId="62" borderId="35" xfId="0" applyFont="1" applyFill="1" applyBorder="1"/>
    <xf numFmtId="0" fontId="60" fillId="62" borderId="32" xfId="0" applyFont="1" applyFill="1" applyBorder="1" applyAlignment="1">
      <alignment horizontal="left" vertical="top" wrapText="1"/>
    </xf>
    <xf numFmtId="0" fontId="94" fillId="62" borderId="22" xfId="0" applyFont="1" applyFill="1" applyBorder="1" applyAlignment="1">
      <alignment horizontal="left" vertical="top" wrapText="1"/>
    </xf>
    <xf numFmtId="0" fontId="61" fillId="62" borderId="22" xfId="0" applyFont="1" applyFill="1" applyBorder="1" applyAlignment="1">
      <alignment horizontal="left" vertical="top" wrapText="1"/>
    </xf>
    <xf numFmtId="0" fontId="61" fillId="62" borderId="0" xfId="0" applyFont="1" applyFill="1" applyBorder="1" applyAlignment="1">
      <alignment horizontal="left" vertical="top" wrapText="1"/>
    </xf>
    <xf numFmtId="0" fontId="61" fillId="62" borderId="32" xfId="0" applyFont="1" applyFill="1" applyBorder="1" applyAlignment="1">
      <alignment horizontal="left" vertical="top" wrapText="1"/>
    </xf>
    <xf numFmtId="0" fontId="69" fillId="62" borderId="0" xfId="0" applyFont="1" applyFill="1" applyBorder="1" applyAlignment="1">
      <alignment horizontal="left" vertical="top" wrapText="1"/>
    </xf>
    <xf numFmtId="0" fontId="59" fillId="60" borderId="32" xfId="0" applyFont="1" applyFill="1" applyBorder="1" applyAlignment="1">
      <alignment horizontal="left" vertical="top" wrapText="1"/>
    </xf>
    <xf numFmtId="0" fontId="59" fillId="60" borderId="0" xfId="0" applyFont="1" applyFill="1" applyBorder="1" applyAlignment="1">
      <alignment horizontal="left" vertical="top" wrapText="1"/>
    </xf>
    <xf numFmtId="0" fontId="82" fillId="66" borderId="0" xfId="0" applyFont="1" applyFill="1" applyBorder="1" applyAlignment="1">
      <alignment horizontal="center" vertical="top" wrapText="1"/>
    </xf>
    <xf numFmtId="0" fontId="58" fillId="64" borderId="0" xfId="0" applyFont="1" applyFill="1" applyBorder="1" applyAlignment="1">
      <alignment horizontal="left" vertical="top" wrapText="1"/>
    </xf>
    <xf numFmtId="0" fontId="58" fillId="64" borderId="35" xfId="0" applyFont="1" applyFill="1" applyBorder="1" applyAlignment="1">
      <alignment horizontal="left" vertical="top" wrapText="1"/>
    </xf>
    <xf numFmtId="0" fontId="58" fillId="64" borderId="32"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28" xfId="0" applyFont="1" applyFill="1" applyBorder="1" applyAlignment="1">
      <alignment horizontal="left" vertical="top" wrapText="1"/>
    </xf>
    <xf numFmtId="0" fontId="60" fillId="0" borderId="22" xfId="0" applyFont="1" applyFill="1" applyBorder="1" applyAlignment="1">
      <alignment horizontal="left" vertical="top" wrapText="1"/>
    </xf>
    <xf numFmtId="0" fontId="58" fillId="64" borderId="32"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23" xfId="0" applyFont="1" applyFill="1" applyBorder="1" applyAlignment="1">
      <alignment horizontal="left" vertical="top" wrapText="1"/>
    </xf>
    <xf numFmtId="0" fontId="94" fillId="2" borderId="0" xfId="0" applyFont="1" applyFill="1" applyBorder="1" applyAlignment="1">
      <alignment horizontal="left" vertical="top" wrapText="1"/>
    </xf>
    <xf numFmtId="175" fontId="60" fillId="34" borderId="0" xfId="0" applyNumberFormat="1" applyFont="1" applyFill="1" applyAlignment="1">
      <alignment horizontal="right"/>
    </xf>
    <xf numFmtId="0" fontId="61" fillId="2" borderId="22" xfId="0" applyFont="1" applyFill="1" applyBorder="1" applyAlignment="1">
      <alignment horizontal="left" vertical="top" wrapText="1"/>
    </xf>
    <xf numFmtId="0" fontId="94" fillId="2" borderId="22" xfId="0" applyFont="1" applyFill="1" applyBorder="1" applyAlignment="1">
      <alignment horizontal="left" vertical="top" wrapText="1"/>
    </xf>
    <xf numFmtId="0" fontId="66" fillId="60" borderId="24" xfId="0" applyFont="1" applyFill="1" applyBorder="1" applyAlignment="1">
      <alignment horizontal="center"/>
    </xf>
    <xf numFmtId="0" fontId="66" fillId="60" borderId="25" xfId="0" applyFont="1" applyFill="1" applyBorder="1" applyAlignment="1">
      <alignment horizontal="center"/>
    </xf>
    <xf numFmtId="0" fontId="66" fillId="60" borderId="26" xfId="0" applyFont="1" applyFill="1" applyBorder="1" applyAlignment="1">
      <alignment horizontal="center"/>
    </xf>
    <xf numFmtId="3" fontId="66" fillId="60" borderId="24" xfId="0" applyNumberFormat="1" applyFont="1" applyFill="1" applyBorder="1" applyAlignment="1">
      <alignment horizontal="center"/>
    </xf>
    <xf numFmtId="3" fontId="66" fillId="60" borderId="25" xfId="0" applyNumberFormat="1" applyFont="1" applyFill="1" applyBorder="1" applyAlignment="1">
      <alignment horizontal="center"/>
    </xf>
    <xf numFmtId="3" fontId="66" fillId="60" borderId="26" xfId="0" applyNumberFormat="1" applyFont="1" applyFill="1" applyBorder="1" applyAlignment="1">
      <alignment horizontal="center"/>
    </xf>
    <xf numFmtId="0" fontId="66" fillId="60" borderId="25" xfId="0" applyFont="1" applyFill="1" applyBorder="1" applyAlignment="1">
      <alignment horizontal="right"/>
    </xf>
    <xf numFmtId="0" fontId="67" fillId="60" borderId="25" xfId="0" applyFont="1" applyFill="1" applyBorder="1" applyAlignment="1">
      <alignment horizontal="right"/>
    </xf>
    <xf numFmtId="0" fontId="60"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0" fontId="60" fillId="62" borderId="0" xfId="0" applyFont="1" applyFill="1" applyBorder="1" applyAlignment="1">
      <alignment horizontal="left" wrapText="1"/>
    </xf>
    <xf numFmtId="0" fontId="103" fillId="62" borderId="35" xfId="0" applyFont="1" applyFill="1" applyBorder="1" applyAlignment="1">
      <alignment horizontal="center"/>
    </xf>
    <xf numFmtId="0" fontId="103" fillId="2" borderId="34" xfId="0" applyFont="1" applyFill="1" applyBorder="1" applyAlignment="1">
      <alignment horizontal="center"/>
    </xf>
    <xf numFmtId="0" fontId="103" fillId="2" borderId="35" xfId="0" applyFont="1" applyFill="1" applyBorder="1" applyAlignment="1">
      <alignment horizontal="center"/>
    </xf>
    <xf numFmtId="0" fontId="83" fillId="2" borderId="0" xfId="0" applyFont="1" applyFill="1" applyBorder="1" applyAlignment="1">
      <alignment horizontal="left" vertical="top" wrapText="1"/>
    </xf>
    <xf numFmtId="0" fontId="66" fillId="60" borderId="24" xfId="0" applyFont="1" applyFill="1" applyBorder="1" applyAlignment="1">
      <alignment horizontal="center" wrapText="1"/>
    </xf>
    <xf numFmtId="0" fontId="66" fillId="60" borderId="25" xfId="0" applyFont="1" applyFill="1" applyBorder="1" applyAlignment="1">
      <alignment horizontal="center" wrapText="1"/>
    </xf>
    <xf numFmtId="0" fontId="66" fillId="60" borderId="26" xfId="0" applyFont="1" applyFill="1" applyBorder="1" applyAlignment="1">
      <alignment horizontal="center" wrapText="1"/>
    </xf>
    <xf numFmtId="9" fontId="66" fillId="60" borderId="25" xfId="0" applyNumberFormat="1" applyFont="1" applyFill="1" applyBorder="1" applyAlignment="1">
      <alignment horizontal="right"/>
    </xf>
    <xf numFmtId="0" fontId="103" fillId="2" borderId="35" xfId="0" applyFont="1" applyFill="1" applyBorder="1" applyAlignment="1">
      <alignment horizontal="center"/>
    </xf>
    <xf numFmtId="9" fontId="66" fillId="60" borderId="35" xfId="0" applyNumberFormat="1" applyFont="1" applyFill="1" applyBorder="1" applyAlignment="1">
      <alignment horizontal="right"/>
    </xf>
    <xf numFmtId="0" fontId="66" fillId="60" borderId="24" xfId="0" applyFont="1" applyFill="1" applyBorder="1" applyAlignment="1">
      <alignment horizontal="right"/>
    </xf>
    <xf numFmtId="0" fontId="105" fillId="62" borderId="0" xfId="0" applyFont="1" applyFill="1" applyBorder="1" applyAlignment="1">
      <alignment horizontal="center"/>
    </xf>
    <xf numFmtId="0" fontId="66" fillId="60" borderId="30" xfId="0" applyFont="1" applyFill="1" applyBorder="1" applyAlignment="1">
      <alignment horizontal="center"/>
    </xf>
    <xf numFmtId="0" fontId="103" fillId="62" borderId="34" xfId="0" applyFont="1" applyFill="1" applyBorder="1" applyAlignment="1">
      <alignment horizontal="center"/>
    </xf>
    <xf numFmtId="0" fontId="97" fillId="60" borderId="25" xfId="0" applyFont="1" applyFill="1" applyBorder="1" applyAlignment="1">
      <alignment horizontal="center"/>
    </xf>
    <xf numFmtId="0" fontId="97" fillId="60" borderId="26" xfId="0" applyFont="1" applyFill="1" applyBorder="1" applyAlignment="1">
      <alignment horizontal="center"/>
    </xf>
    <xf numFmtId="3" fontId="59" fillId="56" borderId="0" xfId="0" applyNumberFormat="1" applyFont="1" applyFill="1" applyBorder="1" applyAlignment="1">
      <alignment horizontal="center"/>
    </xf>
    <xf numFmtId="3" fontId="107" fillId="44" borderId="0" xfId="0" applyNumberFormat="1" applyFont="1" applyFill="1" applyBorder="1" applyAlignment="1">
      <alignment horizontal="center"/>
    </xf>
    <xf numFmtId="3" fontId="107" fillId="44" borderId="23" xfId="0" applyNumberFormat="1" applyFont="1" applyFill="1" applyBorder="1" applyAlignment="1">
      <alignment horizontal="center"/>
    </xf>
    <xf numFmtId="0" fontId="94" fillId="2" borderId="22" xfId="0" applyFont="1" applyFill="1" applyBorder="1" applyAlignment="1">
      <alignment horizontal="left" wrapText="1"/>
    </xf>
    <xf numFmtId="0" fontId="94" fillId="2" borderId="0" xfId="0" applyFont="1" applyFill="1" applyBorder="1" applyAlignment="1">
      <alignment horizontal="left" wrapText="1"/>
    </xf>
    <xf numFmtId="0" fontId="61" fillId="2" borderId="0" xfId="0" applyFont="1" applyFill="1" applyBorder="1" applyAlignment="1">
      <alignment horizontal="left" vertical="top" wrapText="1"/>
    </xf>
    <xf numFmtId="10" fontId="103" fillId="2" borderId="24" xfId="0" applyNumberFormat="1" applyFont="1" applyFill="1" applyBorder="1" applyAlignment="1">
      <alignment horizontal="center"/>
    </xf>
    <xf numFmtId="10" fontId="103" fillId="2" borderId="25" xfId="0" applyNumberFormat="1" applyFont="1" applyFill="1" applyBorder="1" applyAlignment="1">
      <alignment horizontal="center"/>
    </xf>
    <xf numFmtId="0" fontId="66" fillId="60" borderId="24" xfId="0" applyFont="1" applyFill="1" applyBorder="1" applyAlignment="1">
      <alignment horizontal="center" vertical="center" wrapText="1"/>
    </xf>
    <xf numFmtId="0" fontId="66" fillId="60" borderId="25" xfId="0" applyFont="1" applyFill="1" applyBorder="1" applyAlignment="1">
      <alignment horizontal="center" vertical="center" wrapText="1"/>
    </xf>
    <xf numFmtId="0" fontId="66" fillId="60" borderId="26" xfId="0" applyFont="1" applyFill="1" applyBorder="1" applyAlignment="1">
      <alignment horizontal="center" vertical="center" wrapText="1"/>
    </xf>
    <xf numFmtId="0" fontId="66" fillId="62" borderId="24" xfId="0" applyFont="1" applyFill="1" applyBorder="1" applyAlignment="1">
      <alignment horizontal="center"/>
    </xf>
    <xf numFmtId="0" fontId="66" fillId="62" borderId="25" xfId="0" applyFont="1" applyFill="1" applyBorder="1" applyAlignment="1">
      <alignment horizontal="center"/>
    </xf>
    <xf numFmtId="0" fontId="66" fillId="62" borderId="26" xfId="0" applyFont="1" applyFill="1" applyBorder="1" applyAlignment="1">
      <alignment horizontal="center"/>
    </xf>
    <xf numFmtId="0" fontId="103" fillId="2" borderId="22" xfId="0" applyFont="1" applyFill="1" applyBorder="1" applyAlignment="1">
      <alignment horizontal="left" vertical="top" wrapText="1"/>
    </xf>
    <xf numFmtId="0" fontId="103" fillId="62" borderId="25" xfId="0" applyFont="1" applyFill="1" applyBorder="1" applyAlignment="1">
      <alignment horizontal="center"/>
    </xf>
    <xf numFmtId="0" fontId="9" fillId="61" borderId="24" xfId="0" applyFont="1" applyFill="1" applyBorder="1" applyAlignment="1">
      <alignment horizontal="center"/>
    </xf>
    <xf numFmtId="0" fontId="9" fillId="61" borderId="26" xfId="0" applyFont="1" applyFill="1" applyBorder="1" applyAlignment="1">
      <alignment horizontal="center"/>
    </xf>
    <xf numFmtId="0" fontId="9" fillId="61" borderId="25" xfId="0" applyFont="1" applyFill="1" applyBorder="1" applyAlignment="1">
      <alignment horizont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1" fontId="9" fillId="61" borderId="24" xfId="0" applyNumberFormat="1" applyFont="1" applyFill="1" applyBorder="1" applyAlignment="1">
      <alignment horizontal="center"/>
    </xf>
    <xf numFmtId="1" fontId="9" fillId="61" borderId="26" xfId="0" applyNumberFormat="1" applyFont="1" applyFill="1" applyBorder="1" applyAlignment="1">
      <alignment horizontal="center"/>
    </xf>
    <xf numFmtId="1" fontId="9" fillId="61" borderId="25" xfId="0" applyNumberFormat="1" applyFont="1" applyFill="1" applyBorder="1" applyAlignment="1">
      <alignment horizontal="center"/>
    </xf>
    <xf numFmtId="0" fontId="60" fillId="0" borderId="0" xfId="0" applyFont="1" applyAlignment="1">
      <alignment horizontal="left" wrapText="1"/>
    </xf>
    <xf numFmtId="0" fontId="60" fillId="0" borderId="22" xfId="0" applyFont="1" applyBorder="1" applyAlignment="1">
      <alignment horizontal="left" vertical="top" wrapText="1"/>
    </xf>
  </cellXfs>
  <cellStyles count="505">
    <cellStyle name="Normal" xfId="0"/>
    <cellStyle name="Percent" xfId="15"/>
    <cellStyle name="Currency" xfId="16"/>
    <cellStyle name="Currency [0]" xfId="17"/>
    <cellStyle name="Comma" xfId="18"/>
    <cellStyle name="Comma [0]" xfId="19"/>
    <cellStyle name="Komma" xfId="20"/>
    <cellStyle name="Comma [0] 2" xfId="21"/>
    <cellStyle name="Link" xfId="22"/>
    <cellStyle name="Normal 2" xfId="23"/>
    <cellStyle name="Prozent" xfId="24"/>
    <cellStyle name="Comma 2" xfId="25"/>
    <cellStyle name="Percent 2" xfId="26"/>
    <cellStyle name="Besuchter Hyperlink" xfId="27"/>
    <cellStyle name="Besuchter Hyperlink" xfId="28"/>
    <cellStyle name="Besuchter Hyperlink" xfId="29"/>
    <cellStyle name="Besuchter Hyperlink" xfId="30"/>
    <cellStyle name="Besuchter Hyperlink" xfId="31"/>
    <cellStyle name="Besuchter Hyperlink" xfId="32"/>
    <cellStyle name="Besuchter Hyperlink" xfId="33"/>
    <cellStyle name="Besuchter Hyperlink" xfId="34"/>
    <cellStyle name="Besuchter Hyperlink" xfId="35"/>
    <cellStyle name="Besuchter Hyperlink" xfId="36"/>
    <cellStyle name="Besuchter Hyperlink" xfId="37"/>
    <cellStyle name="Besuchter Hyperlink" xfId="38"/>
    <cellStyle name="Besuchter Hyperlink" xfId="39"/>
    <cellStyle name="Besuchter Hyperlink" xfId="40"/>
    <cellStyle name="Besuchter Hyperlink" xfId="41"/>
    <cellStyle name="Besuchter Hyperlink" xfId="42"/>
    <cellStyle name="Besuchter Hyperlink" xfId="43"/>
    <cellStyle name="Besuchter Hyperlink" xfId="44"/>
    <cellStyle name="Besuchter Hyperlink" xfId="45"/>
    <cellStyle name="Besuchter Hyperlink" xfId="46"/>
    <cellStyle name="Besuchter Hyperlink" xfId="47"/>
    <cellStyle name="Besuchter Hyperlink" xfId="48"/>
    <cellStyle name="Besuchter Hyperlink" xfId="49"/>
    <cellStyle name="Besuchter Hyperlink" xfId="50"/>
    <cellStyle name="Besuchter Hyperlink" xfId="51"/>
    <cellStyle name="Besuchter Hyperlink" xfId="52"/>
    <cellStyle name="Besuchter Hyperlink" xfId="53"/>
    <cellStyle name="Besuchter Hyperlink" xfId="54"/>
    <cellStyle name="Besuchter Hyperlink" xfId="55"/>
    <cellStyle name="Besuchter Hyperlink" xfId="56"/>
    <cellStyle name="Besuchter Hyperlink" xfId="57"/>
    <cellStyle name="Besuchter Hyperlink" xfId="58"/>
    <cellStyle name="Besuchter Hyperlink" xfId="59"/>
    <cellStyle name="Besuchter Hyperlink" xfId="60"/>
    <cellStyle name="Besuchter Hyperlink" xfId="61"/>
    <cellStyle name="Besuchter Hyperlink" xfId="62"/>
    <cellStyle name="Besuchter Hyperlink" xfId="63"/>
    <cellStyle name="Besuchter Hyperlink" xfId="64"/>
    <cellStyle name="Besuchter Hyperlink" xfId="65"/>
    <cellStyle name="Besuchter Hyperlink" xfId="66"/>
    <cellStyle name="Besuchter Hyperlink" xfId="67"/>
    <cellStyle name="Besuchter Hyperlink" xfId="68"/>
    <cellStyle name="Besuchter Hyperlink" xfId="69"/>
    <cellStyle name="Besuchter Hyperlink" xfId="70"/>
    <cellStyle name="Besuchter Hyperlink" xfId="71"/>
    <cellStyle name="Besuchter Hyperlink" xfId="72"/>
    <cellStyle name="20% - ส่วนที่ถูกเน้น1" xfId="73"/>
    <cellStyle name="20% - ส่วนที่ถูกเน้น1 2" xfId="74"/>
    <cellStyle name="20% - ส่วนที่ถูกเน้น2" xfId="75"/>
    <cellStyle name="20% - ส่วนที่ถูกเน้น2 2" xfId="76"/>
    <cellStyle name="20% - ส่วนที่ถูกเน้น3" xfId="77"/>
    <cellStyle name="20% - ส่วนที่ถูกเน้น3 2" xfId="78"/>
    <cellStyle name="20% - ส่วนที่ถูกเน้น4" xfId="79"/>
    <cellStyle name="20% - ส่วนที่ถูกเน้น4 2" xfId="80"/>
    <cellStyle name="20% - ส่วนที่ถูกเน้น5" xfId="81"/>
    <cellStyle name="20% - ส่วนที่ถูกเน้น5 2" xfId="82"/>
    <cellStyle name="20% - ส่วนที่ถูกเน้น6" xfId="83"/>
    <cellStyle name="20% - ส่วนที่ถูกเน้น6 2" xfId="84"/>
    <cellStyle name="40% - ส่วนที่ถูกเน้น1" xfId="85"/>
    <cellStyle name="40% - ส่วนที่ถูกเน้น1 2" xfId="86"/>
    <cellStyle name="40% - ส่วนที่ถูกเน้น2" xfId="87"/>
    <cellStyle name="40% - ส่วนที่ถูกเน้น2 2" xfId="88"/>
    <cellStyle name="40% - ส่วนที่ถูกเน้น3" xfId="89"/>
    <cellStyle name="40% - ส่วนที่ถูกเน้น3 2" xfId="90"/>
    <cellStyle name="40% - ส่วนที่ถูกเน้น4" xfId="91"/>
    <cellStyle name="40% - ส่วนที่ถูกเน้น4 2" xfId="92"/>
    <cellStyle name="40% - ส่วนที่ถูกเน้น5" xfId="93"/>
    <cellStyle name="40% - ส่วนที่ถูกเน้น5 2" xfId="94"/>
    <cellStyle name="40% - ส่วนที่ถูกเน้น6" xfId="95"/>
    <cellStyle name="40% - ส่วนที่ถูกเน้น6 2" xfId="96"/>
    <cellStyle name="60% - ส่วนที่ถูกเน้น1" xfId="97"/>
    <cellStyle name="60% - ส่วนที่ถูกเน้น1 2" xfId="98"/>
    <cellStyle name="60% - ส่วนที่ถูกเน้น2" xfId="99"/>
    <cellStyle name="60% - ส่วนที่ถูกเน้น2 2" xfId="100"/>
    <cellStyle name="60% - ส่วนที่ถูกเน้น3" xfId="101"/>
    <cellStyle name="60% - ส่วนที่ถูกเน้น3 2" xfId="102"/>
    <cellStyle name="60% - ส่วนที่ถูกเน้น4" xfId="103"/>
    <cellStyle name="60% - ส่วนที่ถูกเน้น4 2" xfId="104"/>
    <cellStyle name="60% - ส่วนที่ถูกเน้น5" xfId="105"/>
    <cellStyle name="60% - ส่วนที่ถูกเน้น5 2" xfId="106"/>
    <cellStyle name="60% - ส่วนที่ถูกเน้น6" xfId="107"/>
    <cellStyle name="60% - ส่วนที่ถูกเน้น6 2" xfId="108"/>
    <cellStyle name="Check Cell 2" xfId="109"/>
    <cellStyle name="Check Cell 2 2" xfId="110"/>
    <cellStyle name="Comma 2_Number of births" xfId="111"/>
    <cellStyle name="Comma 2 2" xfId="112"/>
    <cellStyle name="Comma 2 2 2" xfId="113"/>
    <cellStyle name="Comma 2 3" xfId="114"/>
    <cellStyle name="Comma 2 4" xfId="115"/>
    <cellStyle name="Comma 2 5" xfId="116"/>
    <cellStyle name="Comma 3" xfId="117"/>
    <cellStyle name="Comma 3 2" xfId="118"/>
    <cellStyle name="Comma 3 3" xfId="119"/>
    <cellStyle name="Comma 3 4" xfId="120"/>
    <cellStyle name="Comma 3 5" xfId="121"/>
    <cellStyle name="Comma 4" xfId="122"/>
    <cellStyle name="Comma 4 2" xfId="123"/>
    <cellStyle name="Comma 4 3" xfId="124"/>
    <cellStyle name="Comma 5" xfId="125"/>
    <cellStyle name="Comma 5 2" xfId="126"/>
    <cellStyle name="Comma 5 3" xfId="127"/>
    <cellStyle name="Comma 6" xfId="128"/>
    <cellStyle name="Comma 7" xfId="129"/>
    <cellStyle name="Comma 8" xfId="130"/>
    <cellStyle name="Comma 9" xfId="131"/>
    <cellStyle name="Ezres [0]_BUDGET" xfId="132"/>
    <cellStyle name="Ezres_BUDGET" xfId="133"/>
    <cellStyle name="Followed Hyperlink 10" xfId="134"/>
    <cellStyle name="Followed Hyperlink 2" xfId="135"/>
    <cellStyle name="Followed Hyperlink 3" xfId="136"/>
    <cellStyle name="Followed Hyperlink 4" xfId="137"/>
    <cellStyle name="Followed Hyperlink 5" xfId="138"/>
    <cellStyle name="Followed Hyperlink 6" xfId="139"/>
    <cellStyle name="Followed Hyperlink 7" xfId="140"/>
    <cellStyle name="Followed Hyperlink 8" xfId="141"/>
    <cellStyle name="Followed Hyperlink 9" xfId="142"/>
    <cellStyle name="Normal 10" xfId="143"/>
    <cellStyle name="Normal 11" xfId="144"/>
    <cellStyle name="Normal 12" xfId="145"/>
    <cellStyle name="Normal 2_Number of births" xfId="146"/>
    <cellStyle name="Normal 2 2" xfId="147"/>
    <cellStyle name="Normal 2 2 2" xfId="148"/>
    <cellStyle name="Normal 2 3" xfId="149"/>
    <cellStyle name="Normal 2 4" xfId="150"/>
    <cellStyle name="Normal 2 5" xfId="151"/>
    <cellStyle name="Normal 3" xfId="152"/>
    <cellStyle name="Normal 3 2" xfId="153"/>
    <cellStyle name="Normal 3 2 2" xfId="154"/>
    <cellStyle name="Normal 3 2 3" xfId="155"/>
    <cellStyle name="Normal 3 2 4" xfId="156"/>
    <cellStyle name="Normal 3 2 5" xfId="157"/>
    <cellStyle name="Normal 3 3" xfId="158"/>
    <cellStyle name="Normal 3 3 2" xfId="159"/>
    <cellStyle name="Normal 3 3 3" xfId="160"/>
    <cellStyle name="Normal 3 4" xfId="161"/>
    <cellStyle name="Normal 3 5" xfId="162"/>
    <cellStyle name="Normal 4" xfId="163"/>
    <cellStyle name="Normal 4 2" xfId="164"/>
    <cellStyle name="Normal 4 3" xfId="165"/>
    <cellStyle name="Normal 4 4" xfId="166"/>
    <cellStyle name="Normal 4 5" xfId="167"/>
    <cellStyle name="Normal 5" xfId="168"/>
    <cellStyle name="Normal 5 2" xfId="169"/>
    <cellStyle name="Normal 5 3" xfId="170"/>
    <cellStyle name="Normal 5 4" xfId="171"/>
    <cellStyle name="Normal 5 5" xfId="172"/>
    <cellStyle name="Normal 6" xfId="173"/>
    <cellStyle name="Normal 6 2" xfId="174"/>
    <cellStyle name="Normal 6 3" xfId="175"/>
    <cellStyle name="Normal 7" xfId="176"/>
    <cellStyle name="Normal 7 2" xfId="177"/>
    <cellStyle name="Normal 8" xfId="178"/>
    <cellStyle name="Normal 8 2" xfId="179"/>
    <cellStyle name="Normal 9" xfId="180"/>
    <cellStyle name="Normál_BUDGET" xfId="181"/>
    <cellStyle name="Pénznem [0]_BUDGET" xfId="182"/>
    <cellStyle name="Pénznem_BUDGET" xfId="183"/>
    <cellStyle name="Percent 2 2" xfId="184"/>
    <cellStyle name="Percent 2 2 2" xfId="185"/>
    <cellStyle name="Percent 2 3" xfId="186"/>
    <cellStyle name="Percent 2 4" xfId="187"/>
    <cellStyle name="Percent 3" xfId="188"/>
    <cellStyle name="Percent 3 2" xfId="189"/>
    <cellStyle name="Percent 3 3" xfId="190"/>
    <cellStyle name="Percent 3 4" xfId="191"/>
    <cellStyle name="Percent 3 5" xfId="192"/>
    <cellStyle name="Percent 4" xfId="193"/>
    <cellStyle name="Percent 4 2" xfId="194"/>
    <cellStyle name="Percent 5" xfId="195"/>
    <cellStyle name="Percent 5 2" xfId="196"/>
    <cellStyle name="Percent 5 3" xfId="197"/>
    <cellStyle name="Percent 5 4" xfId="198"/>
    <cellStyle name="Percent 6" xfId="199"/>
    <cellStyle name="Percent 6 2" xfId="200"/>
    <cellStyle name="Percent 7" xfId="201"/>
    <cellStyle name="Percent 8" xfId="202"/>
    <cellStyle name="การคำนวณ" xfId="203"/>
    <cellStyle name="การคำนวณ 2" xfId="204"/>
    <cellStyle name="การคำนวณ 2 2" xfId="205"/>
    <cellStyle name="การคำนวณ 2 3" xfId="206"/>
    <cellStyle name="ข้อความเตือน" xfId="207"/>
    <cellStyle name="ข้อความเตือน 2" xfId="208"/>
    <cellStyle name="ข้อความอธิบาย" xfId="209"/>
    <cellStyle name="ข้อความอธิบาย 2" xfId="210"/>
    <cellStyle name="เครื่องหมายจุลภาค 2" xfId="211"/>
    <cellStyle name="เครื่องหมายจุลภาค 3" xfId="212"/>
    <cellStyle name="เครื่องหมายจุลภาค 4" xfId="213"/>
    <cellStyle name="ชื่อเรื่อง" xfId="214"/>
    <cellStyle name="ชื่อเรื่อง 2" xfId="215"/>
    <cellStyle name="เซลล์ตรวจสอบ" xfId="216"/>
    <cellStyle name="เซลล์ตรวจสอบ 2" xfId="217"/>
    <cellStyle name="เซลล์ที่มีการเชื่อมโยง" xfId="218"/>
    <cellStyle name="เซลล์ที่มีการเชื่อมโยง 2" xfId="219"/>
    <cellStyle name="ดี" xfId="220"/>
    <cellStyle name="ดี 2" xfId="221"/>
    <cellStyle name="ปกติ 11" xfId="222"/>
    <cellStyle name="ปกติ 14" xfId="223"/>
    <cellStyle name="ปกติ 15" xfId="224"/>
    <cellStyle name="ปกติ 2" xfId="225"/>
    <cellStyle name="ปกติ 3" xfId="226"/>
    <cellStyle name="ปกติ 9" xfId="227"/>
    <cellStyle name="ปกติ_Demographic data MOI" xfId="228"/>
    <cellStyle name="ป้อนค่า" xfId="229"/>
    <cellStyle name="ป้อนค่า 2" xfId="230"/>
    <cellStyle name="ป้อนค่า 2 2" xfId="231"/>
    <cellStyle name="ป้อนค่า 2 3" xfId="232"/>
    <cellStyle name="ปานกลาง" xfId="233"/>
    <cellStyle name="ปานกลาง 2" xfId="234"/>
    <cellStyle name="เปอร์เซ็นต์ 2" xfId="235"/>
    <cellStyle name="เปอร์เซ็นต์ 3" xfId="236"/>
    <cellStyle name="ผลรวม" xfId="237"/>
    <cellStyle name="ผลรวม 2" xfId="238"/>
    <cellStyle name="ผลรวม 2 2" xfId="239"/>
    <cellStyle name="ผลรวม 2 3" xfId="240"/>
    <cellStyle name="แย่" xfId="241"/>
    <cellStyle name="แย่ 2" xfId="242"/>
    <cellStyle name="ส่วนที่ถูกเน้น1" xfId="243"/>
    <cellStyle name="ส่วนที่ถูกเน้น1 2" xfId="244"/>
    <cellStyle name="ส่วนที่ถูกเน้น2" xfId="245"/>
    <cellStyle name="ส่วนที่ถูกเน้น2 2" xfId="246"/>
    <cellStyle name="ส่วนที่ถูกเน้น3" xfId="247"/>
    <cellStyle name="ส่วนที่ถูกเน้น3 2" xfId="248"/>
    <cellStyle name="ส่วนที่ถูกเน้น4" xfId="249"/>
    <cellStyle name="ส่วนที่ถูกเน้น4 2" xfId="250"/>
    <cellStyle name="ส่วนที่ถูกเน้น5" xfId="251"/>
    <cellStyle name="ส่วนที่ถูกเน้น5 2" xfId="252"/>
    <cellStyle name="ส่วนที่ถูกเน้น6" xfId="253"/>
    <cellStyle name="ส่วนที่ถูกเน้น6 2" xfId="254"/>
    <cellStyle name="แสดงผล" xfId="255"/>
    <cellStyle name="แสดงผล 2" xfId="256"/>
    <cellStyle name="แสดงผล 2 2" xfId="257"/>
    <cellStyle name="แสดงผล 2 3" xfId="258"/>
    <cellStyle name="หมายเหตุ" xfId="259"/>
    <cellStyle name="หมายเหตุ 2" xfId="260"/>
    <cellStyle name="หมายเหตุ 2 2" xfId="261"/>
    <cellStyle name="หมายเหตุ 2 3" xfId="262"/>
    <cellStyle name="หัวเรื่อง 1" xfId="263"/>
    <cellStyle name="หัวเรื่อง 1 2" xfId="264"/>
    <cellStyle name="หัวเรื่อง 2" xfId="265"/>
    <cellStyle name="หัวเรื่อง 2 2" xfId="266"/>
    <cellStyle name="หัวเรื่อง 3" xfId="267"/>
    <cellStyle name="หัวเรื่อง 3 2" xfId="268"/>
    <cellStyle name="หัวเรื่อง 4" xfId="269"/>
    <cellStyle name="หัวเรื่อง 4 2" xfId="270"/>
    <cellStyle name="Besuchter Hyperlink" xfId="271"/>
    <cellStyle name="Besuchter Hyperlink" xfId="272"/>
    <cellStyle name="Besuchter Hyperlink" xfId="273"/>
    <cellStyle name="Besuchter Hyperlink" xfId="274"/>
    <cellStyle name="Besuchter Hyperlink" xfId="275"/>
    <cellStyle name="Besuchter Hyperlink" xfId="276"/>
    <cellStyle name="Besuchter Hyperlink" xfId="277"/>
    <cellStyle name="Besuchter Hyperlink" xfId="278"/>
    <cellStyle name="Besuchter Hyperlink" xfId="279"/>
    <cellStyle name="Besuchter Hyperlink" xfId="280"/>
    <cellStyle name="Besuchter Hyperlink" xfId="281"/>
    <cellStyle name="Besuchter Hyperlink" xfId="282"/>
    <cellStyle name="Besuchter Hyperlink" xfId="283"/>
    <cellStyle name="Besuchter Hyperlink" xfId="284"/>
    <cellStyle name="Besuchter Hyperlink" xfId="285"/>
    <cellStyle name="Besuchter Hyperlink" xfId="286"/>
    <cellStyle name="Besuchter Hyperlink" xfId="287"/>
    <cellStyle name="Besuchter Hyperlink" xfId="288"/>
    <cellStyle name="Besuchter Hyperlink" xfId="289"/>
    <cellStyle name="Besuchter Hyperlink" xfId="290"/>
    <cellStyle name="Besuchter Hyperlink" xfId="291"/>
    <cellStyle name="Besuchter Hyperlink" xfId="292"/>
    <cellStyle name="Besuchter Hyperlink" xfId="293"/>
    <cellStyle name="Besuchter Hyperlink" xfId="294"/>
    <cellStyle name="Besuchter Hyperlink" xfId="295"/>
    <cellStyle name="Besuchter Hyperlink" xfId="296"/>
    <cellStyle name="Besuchter Hyperlink" xfId="297"/>
    <cellStyle name="Besuchter Hyperlink" xfId="298"/>
    <cellStyle name="Besuchter Hyperlink" xfId="299"/>
    <cellStyle name="Besuchter Hyperlink" xfId="300"/>
    <cellStyle name="Besuchter Hyperlink" xfId="301"/>
    <cellStyle name="Besuchter Hyperlink" xfId="302"/>
    <cellStyle name="Besuchter Hyperlink" xfId="303"/>
    <cellStyle name="Besuchter Hyperlink" xfId="304"/>
    <cellStyle name="Besuchter Hyperlink" xfId="305"/>
    <cellStyle name="Besuchter Hyperlink" xfId="306"/>
    <cellStyle name="Besuchter Hyperlink" xfId="307"/>
    <cellStyle name="Besuchter Hyperlink" xfId="308"/>
    <cellStyle name="Besuchter Hyperlink" xfId="309"/>
    <cellStyle name="Besuchter Hyperlink" xfId="310"/>
    <cellStyle name="Besuchter Hyperlink" xfId="311"/>
    <cellStyle name="Besuchter Hyperlink" xfId="312"/>
    <cellStyle name="Besuchter Hyperlink" xfId="313"/>
    <cellStyle name="Besuchter Hyperlink" xfId="314"/>
    <cellStyle name="Besuchter Hyperlink" xfId="315"/>
    <cellStyle name="Besuchter Hyperlink" xfId="316"/>
    <cellStyle name="Besuchter Hyperlink" xfId="317"/>
    <cellStyle name="Besuchter Hyperlink" xfId="318"/>
    <cellStyle name="Besuchter Hyperlink" xfId="319"/>
    <cellStyle name="Besuchter Hyperlink" xfId="320"/>
    <cellStyle name="Besuchter Hyperlink" xfId="321"/>
    <cellStyle name="Besuchter Hyperlink" xfId="322"/>
    <cellStyle name="Besuchter Hyperlink" xfId="323"/>
    <cellStyle name="Besuchter Hyperlink" xfId="324"/>
    <cellStyle name="Besuchter Hyperlink" xfId="325"/>
    <cellStyle name="Besuchter Hyperlink" xfId="326"/>
    <cellStyle name="Besuchter Hyperlink" xfId="327"/>
    <cellStyle name="Besuchter Hyperlink" xfId="328"/>
    <cellStyle name="Besuchter Hyperlink" xfId="329"/>
    <cellStyle name="Besuchter Hyperlink" xfId="330"/>
    <cellStyle name="Besuchter Hyperlink" xfId="331"/>
    <cellStyle name="Besuchter Hyperlink" xfId="332"/>
    <cellStyle name="Besuchter Hyperlink" xfId="333"/>
    <cellStyle name="Besuchter Hyperlink" xfId="334"/>
    <cellStyle name="Besuchter Hyperlink" xfId="335"/>
    <cellStyle name="Besuchter Hyperlink" xfId="336"/>
    <cellStyle name="Besuchter Hyperlink" xfId="337"/>
    <cellStyle name="Besuchter Hyperlink" xfId="338"/>
    <cellStyle name="Besuchter Hyperlink" xfId="339"/>
    <cellStyle name="Besuchter Hyperlink" xfId="340"/>
    <cellStyle name="Besuchter Hyperlink" xfId="341"/>
    <cellStyle name="Besuchter Hyperlink" xfId="342"/>
    <cellStyle name="Besuchter Hyperlink" xfId="343"/>
    <cellStyle name="Besuchter Hyperlink" xfId="344"/>
    <cellStyle name="Besuchter Hyperlink" xfId="345"/>
    <cellStyle name="Besuchter Hyperlink" xfId="346"/>
    <cellStyle name="Besuchter Hyperlink" xfId="347"/>
    <cellStyle name="Besuchter Hyperlink" xfId="348"/>
    <cellStyle name="Besuchter Hyperlink" xfId="349"/>
    <cellStyle name="Besuchter Hyperlink" xfId="350"/>
    <cellStyle name="Besuchter Hyperlink" xfId="351"/>
    <cellStyle name="Besuchter Hyperlink" xfId="352"/>
    <cellStyle name="Besuchter Hyperlink" xfId="353"/>
    <cellStyle name="Besuchter Hyperlink" xfId="354"/>
    <cellStyle name="Besuchter Hyperlink" xfId="355"/>
    <cellStyle name="Besuchter Hyperlink" xfId="356"/>
    <cellStyle name="Besuchter Hyperlink" xfId="357"/>
    <cellStyle name="Besuchter Hyperlink" xfId="358"/>
    <cellStyle name="Besuchter Hyperlink" xfId="359"/>
    <cellStyle name="Besuchter Hyperlink" xfId="360"/>
    <cellStyle name="Besuchter Hyperlink" xfId="361"/>
    <cellStyle name="Besuchter Hyperlink" xfId="362"/>
    <cellStyle name="Besuchter Hyperlink" xfId="363"/>
    <cellStyle name="Besuchter Hyperlink" xfId="364"/>
    <cellStyle name="Besuchter Hyperlink" xfId="365"/>
    <cellStyle name="Besuchter Hyperlink" xfId="366"/>
    <cellStyle name="Besuchter Hyperlink" xfId="367"/>
    <cellStyle name="Besuchter Hyperlink" xfId="368"/>
    <cellStyle name="Besuchter Hyperlink" xfId="369"/>
    <cellStyle name="Besuchter Hyperlink" xfId="370"/>
    <cellStyle name="Besuchter Hyperlink" xfId="371"/>
    <cellStyle name="Besuchter Hyperlink" xfId="372"/>
    <cellStyle name="Besuchter Hyperlink" xfId="373"/>
    <cellStyle name="Besuchter Hyperlink" xfId="374"/>
    <cellStyle name="Besuchter Hyperlink" xfId="375"/>
    <cellStyle name="Besuchter Hyperlink" xfId="376"/>
    <cellStyle name="Besuchter Hyperlink" xfId="377"/>
    <cellStyle name="Besuchter Hyperlink" xfId="378"/>
    <cellStyle name="Besuchter Hyperlink" xfId="379"/>
    <cellStyle name="Besuchter Hyperlink" xfId="380"/>
    <cellStyle name="Besuchter Hyperlink" xfId="381"/>
    <cellStyle name="Besuchter Hyperlink" xfId="382"/>
    <cellStyle name="Besuchter Hyperlink" xfId="383"/>
    <cellStyle name="Besuchter Hyperlink" xfId="384"/>
    <cellStyle name="Besuchter Hyperlink" xfId="385"/>
    <cellStyle name="Besuchter Hyperlink" xfId="386"/>
    <cellStyle name="Besuchter Hyperlink" xfId="387"/>
    <cellStyle name="Besuchter Hyperlink" xfId="388"/>
    <cellStyle name="Besuchter Hyperlink" xfId="389"/>
    <cellStyle name="Besuchter Hyperlink" xfId="390"/>
    <cellStyle name="Besuchter Hyperlink" xfId="391"/>
    <cellStyle name="Besuchter Hyperlink" xfId="392"/>
    <cellStyle name="Besuchter Hyperlink" xfId="393"/>
    <cellStyle name="Besuchter Hyperlink" xfId="394"/>
    <cellStyle name="Besuchter Hyperlink" xfId="395"/>
    <cellStyle name="Besuchter Hyperlink" xfId="396"/>
    <cellStyle name="Besuchter Hyperlink" xfId="397"/>
    <cellStyle name="Besuchter Hyperlink" xfId="398"/>
    <cellStyle name="Besuchter Hyperlink" xfId="399"/>
    <cellStyle name="Besuchter Hyperlink" xfId="400"/>
    <cellStyle name="Besuchter Hyperlink" xfId="401"/>
    <cellStyle name="Besuchter Hyperlink" xfId="402"/>
    <cellStyle name="Besuchter Hyperlink" xfId="403"/>
    <cellStyle name="Besuchter Hyperlink" xfId="404"/>
    <cellStyle name="Besuchter Hyperlink" xfId="405"/>
    <cellStyle name="Besuchter Hyperlink" xfId="406"/>
    <cellStyle name="Besuchter Hyperlink" xfId="407"/>
    <cellStyle name="Besuchter Hyperlink" xfId="408"/>
    <cellStyle name="Besuchter Hyperlink" xfId="409"/>
    <cellStyle name="Besuchter Hyperlink" xfId="410"/>
    <cellStyle name="Besuchter Hyperlink" xfId="411"/>
    <cellStyle name="Besuchter Hyperlink" xfId="412"/>
    <cellStyle name="Besuchter Hyperlink" xfId="413"/>
    <cellStyle name="Besuchter Hyperlink" xfId="414"/>
    <cellStyle name="Besuchter Hyperlink" xfId="415"/>
    <cellStyle name="Besuchter Hyperlink" xfId="416"/>
    <cellStyle name="Besuchter Hyperlink" xfId="417"/>
    <cellStyle name="Besuchter Hyperlink" xfId="418"/>
    <cellStyle name="Besuchter Hyperlink" xfId="419"/>
    <cellStyle name="Besuchter Hyperlink" xfId="420"/>
    <cellStyle name="Besuchter Hyperlink" xfId="421"/>
    <cellStyle name="Besuchter Hyperlink" xfId="422"/>
    <cellStyle name="Besuchter Hyperlink" xfId="423"/>
    <cellStyle name="Besuchter Hyperlink" xfId="424"/>
    <cellStyle name="Besuchter Hyperlink" xfId="425"/>
    <cellStyle name="Besuchter Hyperlink" xfId="426"/>
    <cellStyle name="Besuchter Hyperlink" xfId="427"/>
    <cellStyle name="Besuchter Hyperlink" xfId="428"/>
    <cellStyle name="Besuchter Hyperlink" xfId="429"/>
    <cellStyle name="Besuchter Hyperlink" xfId="430"/>
    <cellStyle name="Besuchter Hyperlink" xfId="431"/>
    <cellStyle name="Besuchter Hyperlink" xfId="432"/>
    <cellStyle name="Besuchter Hyperlink" xfId="433"/>
    <cellStyle name="Besuchter Hyperlink" xfId="434"/>
    <cellStyle name="Besuchter Hyperlink" xfId="435"/>
    <cellStyle name="Besuchter Hyperlink" xfId="436"/>
    <cellStyle name="Besuchter Hyperlink" xfId="437"/>
    <cellStyle name="Besuchter Hyperlink" xfId="438"/>
    <cellStyle name="Besuchter Hyperlink" xfId="439"/>
    <cellStyle name="Besuchter Hyperlink" xfId="440"/>
    <cellStyle name="Besuchter Hyperlink" xfId="441"/>
    <cellStyle name="Besuchter Hyperlink" xfId="442"/>
    <cellStyle name="Besuchter Hyperlink" xfId="443"/>
    <cellStyle name="Besuchter Hyperlink" xfId="444"/>
    <cellStyle name="Besuchter Hyperlink" xfId="445"/>
    <cellStyle name="Besuchter Hyperlink" xfId="446"/>
    <cellStyle name="Besuchter Hyperlink" xfId="447"/>
    <cellStyle name="Besuchter Hyperlink" xfId="448"/>
    <cellStyle name="Besuchter Hyperlink" xfId="449"/>
    <cellStyle name="Besuchter Hyperlink" xfId="450"/>
    <cellStyle name="Besuchter Hyperlink" xfId="451"/>
    <cellStyle name="Besuchter Hyperlink" xfId="452"/>
    <cellStyle name="Besuchter Hyperlink" xfId="453"/>
    <cellStyle name="Besuchter Hyperlink" xfId="454"/>
    <cellStyle name="Besuchter Hyperlink" xfId="455"/>
    <cellStyle name="Besuchter Hyperlink" xfId="456"/>
    <cellStyle name="Besuchter Hyperlink" xfId="457"/>
    <cellStyle name="Besuchter Hyperlink" xfId="458"/>
    <cellStyle name="Besuchter Hyperlink" xfId="459"/>
    <cellStyle name="Besuchter Hyperlink" xfId="460"/>
    <cellStyle name="Besuchter Hyperlink" xfId="461"/>
    <cellStyle name="Besuchter Hyperlink" xfId="462"/>
    <cellStyle name="Besuchter Hyperlink" xfId="463"/>
    <cellStyle name="Besuchter Hyperlink" xfId="464"/>
    <cellStyle name="Besuchter Hyperlink" xfId="465"/>
    <cellStyle name="Besuchter Hyperlink" xfId="466"/>
    <cellStyle name="Besuchter Hyperlink" xfId="467"/>
    <cellStyle name="Besuchter Hyperlink" xfId="468"/>
    <cellStyle name="Besuchter Hyperlink" xfId="469"/>
    <cellStyle name="Besuchter Hyperlink" xfId="470"/>
    <cellStyle name="Besuchter Hyperlink" xfId="471"/>
    <cellStyle name="Besuchter Hyperlink" xfId="472"/>
    <cellStyle name="Überschrift" xfId="473"/>
    <cellStyle name="Überschrift 1" xfId="474"/>
    <cellStyle name="Überschrift 2" xfId="475"/>
    <cellStyle name="Überschrift 3" xfId="476"/>
    <cellStyle name="Überschrift 4" xfId="477"/>
    <cellStyle name="Gut" xfId="478"/>
    <cellStyle name="Schlecht" xfId="479"/>
    <cellStyle name="Neutral" xfId="480"/>
    <cellStyle name="Eingabe" xfId="481"/>
    <cellStyle name="Ausgabe" xfId="482"/>
    <cellStyle name="Berechnung" xfId="483"/>
    <cellStyle name="Verknüpfte Zelle" xfId="484"/>
    <cellStyle name="Zelle überprüfen" xfId="485"/>
    <cellStyle name="Warnender Text" xfId="486"/>
    <cellStyle name="Notiz" xfId="487"/>
    <cellStyle name="Erklärender Text" xfId="488"/>
    <cellStyle name="Ergebnis" xfId="489"/>
    <cellStyle name="Akzent1" xfId="490"/>
    <cellStyle name="20 % - Akzent1" xfId="491"/>
    <cellStyle name="40 % - Akzent1" xfId="492"/>
    <cellStyle name="60 % - Akzent1" xfId="493"/>
    <cellStyle name="Akzent2" xfId="494"/>
    <cellStyle name="20 % - Akzent2" xfId="495"/>
    <cellStyle name="40 % - Akzent2" xfId="496"/>
    <cellStyle name="60 % - Akzent2" xfId="497"/>
    <cellStyle name="Akzent3" xfId="498"/>
    <cellStyle name="20 % - Akzent3" xfId="499"/>
    <cellStyle name="40 % - Akzent3" xfId="500"/>
    <cellStyle name="60 % - Akzent3" xfId="501"/>
    <cellStyle name="Akzent4" xfId="502"/>
    <cellStyle name="20 % - Akzent4" xfId="503"/>
    <cellStyle name="40 % - Akzent4" xfId="504"/>
    <cellStyle name="60 % - Akzent4" xfId="505"/>
    <cellStyle name="Akzent5" xfId="506"/>
    <cellStyle name="20 % - Akzent5" xfId="507"/>
    <cellStyle name="40 % - Akzent5" xfId="508"/>
    <cellStyle name="60 % - Akzent5" xfId="509"/>
    <cellStyle name="Akzent6" xfId="510"/>
    <cellStyle name="20 % - Akzent6" xfId="511"/>
    <cellStyle name="40 % - Akzent6" xfId="512"/>
    <cellStyle name="60 % - Akzent6" xfId="513"/>
    <cellStyle name="Standard 2" xfId="514"/>
    <cellStyle name="Komma 2" xfId="515"/>
    <cellStyle name="Komma 3" xfId="516"/>
    <cellStyle name="Comma [0] 2 2" xfId="517"/>
    <cellStyle name="Prozent 2" xfId="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1 - Health </a:t>
            </a:r>
          </a:p>
        </c:rich>
      </c:tx>
      <c:layout/>
      <c:overlay val="0"/>
      <c:spPr>
        <a:noFill/>
        <a:ln>
          <a:noFill/>
        </a:ln>
      </c:spPr>
    </c:title>
    <c:plotArea>
      <c:layout>
        <c:manualLayout>
          <c:layoutTarget val="inner"/>
          <c:xMode val="edge"/>
          <c:yMode val="edge"/>
          <c:x val="0.08875"/>
          <c:y val="0.11375"/>
          <c:w val="0.8815"/>
          <c:h val="0.5105"/>
        </c:manualLayout>
      </c:layout>
      <c:barChart>
        <c:barDir val="col"/>
        <c:grouping val="clustered"/>
        <c:varyColors val="0"/>
        <c:ser>
          <c:idx val="0"/>
          <c:order val="0"/>
          <c:tx>
            <c:strRef>
              <c:f>Health!$A$57</c:f>
              <c:strCache>
                <c:ptCount val="1"/>
                <c:pt idx="0">
                  <c:v>Cost of Scenario 1 (PHP million)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1"/>
          <c:order val="1"/>
          <c:tx>
            <c:strRef>
              <c:f>Health!$A$58</c:f>
              <c:strCache>
                <c:ptCount val="1"/>
                <c:pt idx="0">
                  <c:v>Cost of Scenario 2 (PHP million)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2"/>
          <c:order val="2"/>
          <c:tx>
            <c:strRef>
              <c:f>Health!$A$59</c:f>
              <c:strCache>
                <c:ptCount val="1"/>
                <c:pt idx="0">
                  <c:v>Cost of Scenario 3 (PHP million)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overlap val="-27"/>
        <c:gapWidth val="219"/>
        <c:axId val="20252891"/>
        <c:axId val="48058292"/>
      </c:barChart>
      <c:catAx>
        <c:axId val="2025289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8058292"/>
        <c:crosses val="autoZero"/>
        <c:auto val="1"/>
        <c:lblOffset val="100"/>
        <c:noMultiLvlLbl val="0"/>
      </c:catAx>
      <c:valAx>
        <c:axId val="48058292"/>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0252891"/>
        <c:crosses val="autoZero"/>
        <c:crossBetween val="between"/>
        <c:dispUnits/>
      </c:valAx>
      <c:spPr>
        <a:noFill/>
        <a:ln>
          <a:noFill/>
        </a:ln>
      </c:spPr>
    </c:plotArea>
    <c:legend>
      <c:legendPos val="r"/>
      <c:layout>
        <c:manualLayout>
          <c:xMode val="edge"/>
          <c:yMode val="edge"/>
          <c:x val="0.0415"/>
          <c:y val="0.71525"/>
          <c:w val="0.311"/>
          <c:h val="0.20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Balance of government budget (% of GDP)</a:t>
            </a:r>
          </a:p>
        </c:rich>
      </c:tx>
      <c:layout/>
      <c:overlay val="0"/>
      <c:spPr>
        <a:noFill/>
        <a:ln>
          <a:noFill/>
        </a:ln>
      </c:spPr>
    </c:title>
    <c:plotArea>
      <c:layout>
        <c:manualLayout>
          <c:layoutTarget val="inner"/>
          <c:xMode val="edge"/>
          <c:yMode val="edge"/>
          <c:x val="0.081"/>
          <c:y val="0.17175"/>
          <c:w val="0.6455"/>
          <c:h val="0.71575"/>
        </c:manualLayout>
      </c:layout>
      <c:lineChart>
        <c:grouping val="standard"/>
        <c:varyColors val="0"/>
        <c:ser>
          <c:idx val="0"/>
          <c:order val="0"/>
          <c:tx>
            <c:strRef>
              <c:f>'GGO (Ben)'!$A$16</c:f>
              <c:strCache>
                <c:ptCount val="1"/>
                <c:pt idx="0">
                  <c:v>Balance at status quo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(Ben)'!$D$16:$I$16</c:f>
              <c:numCache/>
            </c:numRef>
          </c:val>
          <c:smooth val="0"/>
        </c:ser>
        <c:ser>
          <c:idx val="1"/>
          <c:order val="1"/>
          <c:tx>
            <c:strRef>
              <c:f>'GGO (Ben)'!$A$17</c:f>
              <c:strCache>
                <c:ptCount val="1"/>
                <c:pt idx="0">
                  <c:v>Balance after low scenario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(Ben)'!$D$17:$I$17</c:f>
              <c:numCache/>
            </c:numRef>
          </c:val>
          <c:smooth val="0"/>
        </c:ser>
        <c:ser>
          <c:idx val="2"/>
          <c:order val="2"/>
          <c:tx>
            <c:strRef>
              <c:f>'GGO (Ben)'!$A$18</c:f>
              <c:strCache>
                <c:ptCount val="1"/>
                <c:pt idx="0">
                  <c:v>Balance after high scenario </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(Ben)'!$D$18:$I$18</c:f>
              <c:numCache/>
            </c:numRef>
          </c:val>
          <c:smooth val="0"/>
        </c:ser>
        <c:marker val="1"/>
        <c:axId val="4553977"/>
        <c:axId val="40985794"/>
      </c:lineChart>
      <c:catAx>
        <c:axId val="4553977"/>
        <c:scaling>
          <c:orientation val="minMax"/>
        </c:scaling>
        <c:axPos val="b"/>
        <c:delete val="0"/>
        <c:numFmt formatCode="General" sourceLinked="1"/>
        <c:majorTickMark val="out"/>
        <c:minorTickMark val="none"/>
        <c:tickLblPos val="low"/>
        <c:spPr>
          <a:noFill/>
          <a:ln w="9525" cap="flat" cmpd="sng">
            <a:solidFill>
              <a:schemeClr val="accent1">
                <a:alpha val="99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0985794"/>
        <c:crosses val="autoZero"/>
        <c:auto val="1"/>
        <c:lblOffset val="100"/>
        <c:noMultiLvlLbl val="0"/>
      </c:catAx>
      <c:valAx>
        <c:axId val="40985794"/>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553977"/>
        <c:crosses val="autoZero"/>
        <c:crossBetween val="between"/>
        <c:dispUnits/>
      </c:valAx>
      <c:spPr>
        <a:noFill/>
        <a:ln>
          <a:noFill/>
        </a:ln>
      </c:spPr>
    </c:plotArea>
    <c:legend>
      <c:legendPos val="r"/>
      <c:layout>
        <c:manualLayout>
          <c:xMode val="edge"/>
          <c:yMode val="edge"/>
          <c:x val="0.771"/>
          <c:y val="0.201"/>
          <c:w val="0.2125"/>
          <c:h val="0.54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solidFill>
                <a:latin typeface="+mn-lt"/>
                <a:ea typeface="Calibri"/>
                <a:cs typeface="Calibri"/>
              </a:rPr>
              <a:t>Underemployment rate (%)</a:t>
            </a:r>
          </a:p>
        </c:rich>
      </c:tx>
      <c:layout/>
      <c:overlay val="0"/>
      <c:spPr>
        <a:noFill/>
        <a:ln>
          <a:noFill/>
        </a:ln>
      </c:spPr>
    </c:title>
    <c:plotArea>
      <c:layout>
        <c:manualLayout>
          <c:layoutTarget val="inner"/>
          <c:xMode val="edge"/>
          <c:yMode val="edge"/>
          <c:x val="0.103"/>
          <c:y val="0.138"/>
          <c:w val="0.54425"/>
          <c:h val="0.73875"/>
        </c:manualLayout>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00025"/>
                  <c:y val="-0.167"/>
                </c:manualLayout>
              </c:layout>
              <c:txPr>
                <a:bodyPr vert="horz" rot="0" anchor="ctr"/>
                <a:lstStyle/>
                <a:p>
                  <a:pPr algn="ctr">
                    <a:defRPr lang="en-US" cap="none" sz="1000" b="0" i="0" u="none" baseline="0">
                      <a:solidFill>
                        <a:schemeClr val="tx1"/>
                      </a:solidFill>
                      <a:latin typeface="+mn-lt"/>
                      <a:ea typeface="Calibri"/>
                      <a:cs typeface="Calibri"/>
                    </a:defRPr>
                  </a:pPr>
                </a:p>
              </c:txPr>
              <c:numFmt formatCode="General"/>
              <c:spPr>
                <a:noFill/>
                <a:ln>
                  <a:noFill/>
                </a:ln>
              </c:spPr>
            </c:trendlineLbl>
          </c:trendline>
          <c:cat>
            <c:numLit>
              <c:ptCount val="9"/>
              <c:pt idx="0">
                <c:v>1</c:v>
              </c:pt>
              <c:pt idx="1">
                <c:v>2</c:v>
              </c:pt>
              <c:pt idx="2">
                <c:v>3</c:v>
              </c:pt>
              <c:pt idx="3">
                <c:v>4</c:v>
              </c:pt>
              <c:pt idx="4">
                <c:v>5</c:v>
              </c:pt>
              <c:pt idx="5">
                <c:v>6</c:v>
              </c:pt>
              <c:pt idx="6">
                <c:v>7</c:v>
              </c:pt>
              <c:pt idx="7">
                <c:v>9</c:v>
              </c:pt>
              <c:pt idx="8">
                <c:v>10</c:v>
              </c:pt>
            </c:numLit>
          </c:cat>
          <c:val>
            <c:numRef>
              <c:f>(Calculations!$B$3:$H$3,Calculations!$J$3:$K$3)</c:f>
              <c:numCache/>
            </c:numRef>
          </c:val>
        </c:ser>
        <c:axId val="33327827"/>
        <c:axId val="31514988"/>
      </c:barChart>
      <c:catAx>
        <c:axId val="33327827"/>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1514988"/>
        <c:crosses val="autoZero"/>
        <c:auto val="1"/>
        <c:lblOffset val="100"/>
        <c:noMultiLvlLbl val="0"/>
      </c:catAx>
      <c:valAx>
        <c:axId val="31514988"/>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33327827"/>
        <c:crosses val="autoZero"/>
        <c:crossBetween val="between"/>
        <c:dispUnits/>
      </c:valAx>
      <c:spPr>
        <a:solidFill>
          <a:schemeClr val="bg1"/>
        </a:solidFill>
        <a:ln>
          <a:noFill/>
        </a:ln>
      </c:spPr>
    </c:plotArea>
    <c:legend>
      <c:legendPos val="r"/>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accent2">
          <a:lumMod val="75000"/>
        </a:schemeClr>
      </a:solidFill>
      <a:prstDash val="solid"/>
      <a:round/>
    </a:ln>
  </c:spPr>
  <c:lang xmlns:c="http://schemas.openxmlformats.org/drawingml/2006/chart" val="de-DE"/>
  <c:printSettings xmlns:c="http://schemas.openxmlformats.org/drawingml/2006/chart">
    <c:headerFooter/>
    <c:pageMargins b="0.75000000000000455" l="0.70000000000000062" r="0.70000000000000062" t="0.7500000000000045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u="none" baseline="0">
                <a:latin typeface="Calibri"/>
                <a:ea typeface="Calibri"/>
                <a:cs typeface="Calibri"/>
              </a:rPr>
              <a:t>Informal</a:t>
            </a:r>
            <a:r>
              <a:rPr lang="en-US" cap="none" sz="1400" u="none" baseline="0">
                <a:latin typeface="Calibri"/>
                <a:ea typeface="Calibri"/>
                <a:cs typeface="Calibri"/>
              </a:rPr>
              <a:t> Sector (as % of employed)</a:t>
            </a:r>
          </a:p>
        </c:rich>
      </c:tx>
      <c:layout/>
      <c:overlay val="0"/>
      <c:spPr>
        <a:noFill/>
        <a:ln>
          <a:noFill/>
        </a:ln>
      </c:spPr>
    </c:title>
    <c:plotArea>
      <c:layout>
        <c:manualLayout>
          <c:layoutTarget val="inner"/>
          <c:xMode val="edge"/>
          <c:yMode val="edge"/>
          <c:x val="0.10375"/>
          <c:y val="0.128"/>
          <c:w val="0.51875"/>
          <c:h val="0.749"/>
        </c:manualLayout>
      </c:layout>
      <c:barChart>
        <c:barDir val="col"/>
        <c:grouping val="clustered"/>
        <c:varyColors val="0"/>
        <c:ser>
          <c:idx val="0"/>
          <c:order val="0"/>
          <c:tx>
            <c:strRef>
              <c:f>Calculations!$A$24</c:f>
              <c:strCache>
                <c:ptCount val="1"/>
                <c:pt idx="0">
                  <c:v>Informal sector as % of employed</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515"/>
                  <c:y val="-0.353"/>
                </c:manualLayout>
              </c:layout>
              <c:txPr>
                <a:bodyPr vert="horz" rot="0" anchor="ctr"/>
                <a:lstStyle/>
                <a:p>
                  <a:pPr algn="ctr">
                    <a:defRPr lang="en-US" cap="none" sz="1100" u="none" baseline="0">
                      <a:latin typeface="Calibri"/>
                      <a:ea typeface="Calibri"/>
                      <a:cs typeface="Calibri"/>
                    </a:defRPr>
                  </a:pPr>
                </a:p>
              </c:txPr>
              <c:numFmt formatCode="General"/>
            </c:trendlineLbl>
          </c:trendline>
          <c:cat>
            <c:numRef>
              <c:f>Calculations!$B$23:$K$23</c:f>
              <c:numCache/>
            </c:numRef>
          </c:cat>
          <c:val>
            <c:numRef>
              <c:f>Calculations!$B$24:$K$24</c:f>
              <c:numCache/>
            </c:numRef>
          </c:val>
        </c:ser>
        <c:axId val="15199437"/>
        <c:axId val="2577206"/>
      </c:barChart>
      <c:catAx>
        <c:axId val="15199437"/>
        <c:scaling>
          <c:orientation val="minMax"/>
        </c:scaling>
        <c:axPos val="b"/>
        <c:delete val="0"/>
        <c:numFmt formatCode="General" sourceLinked="1"/>
        <c:majorTickMark val="out"/>
        <c:minorTickMark val="none"/>
        <c:tickLblPos val="nextTo"/>
        <c:crossAx val="2577206"/>
        <c:crosses val="autoZero"/>
        <c:auto val="1"/>
        <c:lblOffset val="100"/>
        <c:noMultiLvlLbl val="0"/>
      </c:catAx>
      <c:valAx>
        <c:axId val="2577206"/>
        <c:scaling>
          <c:orientation val="minMax"/>
        </c:scaling>
        <c:axPos val="l"/>
        <c:delete val="0"/>
        <c:numFmt formatCode="0.0%" sourceLinked="1"/>
        <c:majorTickMark val="out"/>
        <c:minorTickMark val="none"/>
        <c:tickLblPos val="nextTo"/>
        <c:crossAx val="15199437"/>
        <c:crosses val="autoZero"/>
        <c:crossBetween val="between"/>
        <c:dispUnits/>
      </c:valAx>
    </c:plotArea>
    <c:legend>
      <c:legendPos val="r"/>
      <c:layout>
        <c:manualLayout>
          <c:xMode val="edge"/>
          <c:yMode val="edge"/>
          <c:x val="0.6825"/>
          <c:y val="0.34125"/>
          <c:w val="0.30225"/>
          <c:h val="0.405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0"/>
    </mc:Choice>
    <mc:Fallback>
      <c:style val="30"/>
    </mc:Fallback>
  </mc:AlternateContent>
  <c:chart>
    <c:autoTitleDeleted val="0"/>
    <c:title>
      <c:tx>
        <c:rich>
          <a:bodyPr vert="horz" rot="0" anchor="ctr"/>
          <a:lstStyle/>
          <a:p>
            <a:pPr algn="ctr">
              <a:defRPr/>
            </a:pPr>
            <a:r>
              <a:rPr lang="en-US" cap="none" sz="1400" u="none" baseline="0">
                <a:latin typeface="Calibri"/>
                <a:ea typeface="Calibri"/>
                <a:cs typeface="Calibri"/>
              </a:rPr>
              <a:t>Agricultural</a:t>
            </a:r>
            <a:r>
              <a:rPr lang="en-US" cap="none" sz="1400" u="none" baseline="0">
                <a:latin typeface="Calibri"/>
                <a:ea typeface="Calibri"/>
                <a:cs typeface="Calibri"/>
              </a:rPr>
              <a:t> workers (% of employed)</a:t>
            </a:r>
          </a:p>
        </c:rich>
      </c:tx>
      <c:layout>
        <c:manualLayout>
          <c:xMode val="edge"/>
          <c:yMode val="edge"/>
          <c:x val="0.2"/>
          <c:y val="0.0415"/>
        </c:manualLayout>
      </c:layout>
      <c:overlay val="0"/>
      <c:spPr>
        <a:noFill/>
        <a:ln>
          <a:noFill/>
        </a:ln>
      </c:spPr>
    </c:title>
    <c:plotArea>
      <c:layout>
        <c:manualLayout>
          <c:layoutTarget val="inner"/>
          <c:xMode val="edge"/>
          <c:yMode val="edge"/>
          <c:x val="0.106"/>
          <c:y val="0.2905"/>
          <c:w val="0.49275"/>
          <c:h val="0.596"/>
        </c:manualLayout>
      </c:layout>
      <c:barChart>
        <c:barDir val="col"/>
        <c:grouping val="clustered"/>
        <c:varyColors val="0"/>
        <c:ser>
          <c:idx val="0"/>
          <c:order val="0"/>
          <c:tx>
            <c:strRef>
              <c:f>Calculations!$A$101</c:f>
              <c:strCache>
                <c:ptCount val="1"/>
                <c:pt idx="0">
                  <c:v>Agriculture workers (% of employed persons)</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215"/>
                  <c:y val="-0.3265"/>
                </c:manualLayout>
              </c:layout>
              <c:numFmt formatCode="General"/>
            </c:trendlineLbl>
          </c:trendline>
          <c:cat>
            <c:numLit>
              <c:ptCount val="8"/>
              <c:pt idx="0">
                <c:v>3</c:v>
              </c:pt>
              <c:pt idx="1">
                <c:v>4</c:v>
              </c:pt>
              <c:pt idx="2">
                <c:v>5</c:v>
              </c:pt>
              <c:pt idx="3">
                <c:v>6</c:v>
              </c:pt>
              <c:pt idx="4">
                <c:v>7</c:v>
              </c:pt>
              <c:pt idx="5">
                <c:v>8</c:v>
              </c:pt>
              <c:pt idx="6">
                <c:v>9</c:v>
              </c:pt>
              <c:pt idx="7">
                <c:v>10</c:v>
              </c:pt>
            </c:numLit>
          </c:cat>
          <c:val>
            <c:numRef>
              <c:f>Calculations!$D$101:$K$101</c:f>
              <c:numCache/>
            </c:numRef>
          </c:val>
        </c:ser>
        <c:axId val="23194855"/>
        <c:axId val="7427104"/>
      </c:barChart>
      <c:catAx>
        <c:axId val="23194855"/>
        <c:scaling>
          <c:orientation val="minMax"/>
        </c:scaling>
        <c:axPos val="b"/>
        <c:delete val="0"/>
        <c:numFmt formatCode="General" sourceLinked="0"/>
        <c:majorTickMark val="out"/>
        <c:minorTickMark val="none"/>
        <c:tickLblPos val="nextTo"/>
        <c:crossAx val="7427104"/>
        <c:crosses val="autoZero"/>
        <c:auto val="1"/>
        <c:lblOffset val="100"/>
        <c:noMultiLvlLbl val="0"/>
      </c:catAx>
      <c:valAx>
        <c:axId val="7427104"/>
        <c:scaling>
          <c:orientation val="minMax"/>
        </c:scaling>
        <c:axPos val="l"/>
        <c:delete val="0"/>
        <c:numFmt formatCode="#,##0" sourceLinked="1"/>
        <c:majorTickMark val="out"/>
        <c:minorTickMark val="none"/>
        <c:tickLblPos val="nextTo"/>
        <c:crossAx val="23194855"/>
        <c:crosses val="autoZero"/>
        <c:crossBetween val="between"/>
        <c:dispUnits/>
      </c:valAx>
    </c:plotArea>
    <c:legend>
      <c:legendPos val="r"/>
      <c:layout>
        <c:manualLayout>
          <c:xMode val="edge"/>
          <c:yMode val="edge"/>
          <c:x val="0.6105"/>
          <c:y val="0.3865"/>
          <c:w val="0.263"/>
          <c:h val="0.3677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5" l="0.70000000000000062" r="0.70000000000000062" t="0.75000000000000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workers </a:t>
            </a:r>
            <a:r>
              <a:rPr lang="en-US" cap="none" sz="1400" b="1" i="0" u="none" baseline="0">
                <a:latin typeface="Calibri"/>
                <a:ea typeface="Calibri"/>
                <a:cs typeface="Calibri"/>
              </a:rPr>
              <a:t>(as % of total pop)</a:t>
            </a:r>
          </a:p>
        </c:rich>
      </c:tx>
      <c:layout>
        <c:manualLayout>
          <c:xMode val="edge"/>
          <c:yMode val="edge"/>
          <c:x val="0.10775"/>
          <c:y val="0.0545"/>
        </c:manualLayout>
      </c:layout>
      <c:overlay val="0"/>
      <c:spPr>
        <a:noFill/>
        <a:ln>
          <a:noFill/>
        </a:ln>
      </c:spPr>
    </c:title>
    <c:plotArea>
      <c:layout>
        <c:manualLayout>
          <c:layoutTarget val="inner"/>
          <c:xMode val="edge"/>
          <c:yMode val="edge"/>
          <c:x val="0.1015"/>
          <c:y val="0.20775"/>
          <c:w val="0.626"/>
          <c:h val="0.685"/>
        </c:manualLayout>
      </c:layout>
      <c:lineChart>
        <c:grouping val="standard"/>
        <c:varyColors val="0"/>
        <c:ser>
          <c:idx val="0"/>
          <c:order val="0"/>
          <c:tx>
            <c:v>SSS members - workers</c:v>
          </c:tx>
          <c:spPr>
            <a:ln w="66675" cap="rnd" cmpd="sng">
              <a:solidFill>
                <a:schemeClr val="accent1">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cap="flat" cmpd="sng">
                <a:solidFill>
                  <a:schemeClr val="accent1">
                    <a:shade val="95000"/>
                    <a:satMod val="105000"/>
                  </a:schemeClr>
                </a:solidFill>
                <a:prstDash val="solid"/>
                <a:round/>
              </a:ln>
              <a:effectLst>
                <a:outerShdw blurRad="40000" dist="23000" dir="5400000" rotWithShape="0">
                  <a:prstClr val="black">
                    <a:alpha val="35000"/>
                  </a:prstClr>
                </a:outerShdw>
              </a:effectLst>
              <a:scene3d>
                <a:camera prst="orthographicFront"/>
                <a:lightRig rig="threePt" dir="t"/>
              </a:scene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2775"/>
                  <c:y val="0.115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trendline>
            <c:spPr>
              <a:ln w="9525">
                <a:solidFill>
                  <a:srgbClr val="000000"/>
                </a:solidFill>
              </a:ln>
            </c:spPr>
            <c:trendlineType val="poly"/>
            <c:order val="2"/>
            <c:dispEq val="0"/>
            <c:dispRSqr val="0"/>
          </c:trendline>
          <c:val>
            <c:numRef>
              <c:f>Calculations!$D$123:$J$123</c:f>
              <c:numCache/>
            </c:numRef>
          </c:val>
          <c:smooth val="0"/>
        </c:ser>
        <c:ser>
          <c:idx val="2"/>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Calculations!$A$123</c:f>
              <c:numCache/>
            </c:numRef>
          </c:val>
          <c:smooth val="0"/>
        </c:ser>
        <c:marker val="1"/>
        <c:axId val="66843937"/>
        <c:axId val="64724522"/>
      </c:lineChart>
      <c:catAx>
        <c:axId val="66843937"/>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4724522"/>
        <c:crosses val="autoZero"/>
        <c:auto val="1"/>
        <c:lblOffset val="100"/>
        <c:noMultiLvlLbl val="0"/>
      </c:catAx>
      <c:valAx>
        <c:axId val="64724522"/>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6843937"/>
        <c:crosses val="autoZero"/>
        <c:crossBetween val="between"/>
        <c:dispUnits/>
      </c:valAx>
      <c:spPr>
        <a:solidFill>
          <a:schemeClr val="bg1"/>
        </a:solidFill>
        <a:ln>
          <a:noFill/>
        </a:ln>
      </c:spPr>
    </c:plotArea>
    <c:legend>
      <c:legendPos val="r"/>
      <c:legendEntry>
        <c:idx val="1"/>
        <c:delete val="1"/>
      </c:legendEntry>
      <c:legendEntry>
        <c:idx val="3"/>
        <c:delete val="1"/>
      </c:legendEntry>
      <c:layout>
        <c:manualLayout>
          <c:xMode val="edge"/>
          <c:yMode val="edge"/>
          <c:x val="0.73025"/>
          <c:y val="0.21575"/>
          <c:w val="0.2495"/>
          <c:h val="0.515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total IS)</a:t>
            </a:r>
          </a:p>
        </c:rich>
      </c:tx>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Calculations!$B$28:$J$28</c:f>
              <c:numCache/>
            </c:numRef>
          </c:val>
        </c:ser>
        <c:axId val="45649787"/>
        <c:axId val="8194900"/>
      </c:barChart>
      <c:catAx>
        <c:axId val="45649787"/>
        <c:scaling>
          <c:orientation val="minMax"/>
        </c:scaling>
        <c:axPos val="b"/>
        <c:delete val="0"/>
        <c:numFmt formatCode="General" sourceLinked="1"/>
        <c:majorTickMark val="out"/>
        <c:minorTickMark val="none"/>
        <c:tickLblPos val="nextTo"/>
        <c:crossAx val="8194900"/>
        <c:crosses val="autoZero"/>
        <c:auto val="1"/>
        <c:lblOffset val="100"/>
        <c:noMultiLvlLbl val="0"/>
      </c:catAx>
      <c:valAx>
        <c:axId val="8194900"/>
        <c:scaling>
          <c:orientation val="minMax"/>
        </c:scaling>
        <c:axPos val="l"/>
        <c:delete val="0"/>
        <c:numFmt formatCode="0.0%" sourceLinked="1"/>
        <c:majorTickMark val="out"/>
        <c:minorTickMark val="none"/>
        <c:tickLblPos val="nextTo"/>
        <c:crossAx val="45649787"/>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Low skilled unemployed &amp; underemployed (as % of labour force)</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097"/>
                  <c:y val="-0.250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Calculations!$B$38:$J$38</c:f>
              <c:numCache/>
            </c:numRef>
          </c:val>
        </c:ser>
        <c:overlap val="25"/>
        <c:gapWidth val="80"/>
        <c:axId val="6645237"/>
        <c:axId val="59807134"/>
      </c:barChart>
      <c:catAx>
        <c:axId val="6645237"/>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9807134"/>
        <c:crosses val="autoZero"/>
        <c:auto val="1"/>
        <c:lblOffset val="100"/>
        <c:noMultiLvlLbl val="0"/>
      </c:catAx>
      <c:valAx>
        <c:axId val="59807134"/>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645237"/>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employers</a:t>
            </a:r>
            <a:r>
              <a:rPr lang="en-US" cap="none" sz="1400" b="1" i="0" u="none" baseline="0">
                <a:latin typeface="Calibri"/>
                <a:ea typeface="Calibri"/>
                <a:cs typeface="Calibri"/>
              </a:rPr>
              <a:t> (% of employed)</a:t>
            </a:r>
          </a:p>
        </c:rich>
      </c:tx>
      <c:layout>
        <c:manualLayout>
          <c:xMode val="edge"/>
          <c:yMode val="edge"/>
          <c:x val="0.2375"/>
          <c:y val="0.04925"/>
        </c:manualLayout>
      </c:layout>
      <c:overlay val="0"/>
      <c:spPr>
        <a:noFill/>
        <a:ln>
          <a:noFill/>
        </a:ln>
      </c:spPr>
    </c:title>
    <c:plotArea>
      <c:layout>
        <c:manualLayout>
          <c:layoutTarget val="inner"/>
          <c:xMode val="edge"/>
          <c:yMode val="edge"/>
          <c:x val="0.1015"/>
          <c:y val="0.20775"/>
          <c:w val="0.6125"/>
          <c:h val="0.685"/>
        </c:manualLayout>
      </c:layout>
      <c:lineChart>
        <c:grouping val="standard"/>
        <c:varyColors val="0"/>
        <c:ser>
          <c:idx val="1"/>
          <c:order val="0"/>
          <c:tx>
            <c:v>SSS members - employers</c:v>
          </c:tx>
          <c:spPr>
            <a:ln w="66675" cap="rnd" cmpd="sng">
              <a:solidFill>
                <a:schemeClr val="accent3">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cap="flat" cmpd="sng">
                <a:solidFill>
                  <a:schemeClr val="accent3">
                    <a:shade val="95000"/>
                    <a:satMod val="105000"/>
                  </a:schemeClr>
                </a:solidFill>
                <a:prstDash val="solid"/>
                <a:round/>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6225"/>
                  <c:y val="0.058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cat>
            <c:numLit>
              <c:ptCount val="6"/>
              <c:pt idx="0">
                <c:v>1</c:v>
              </c:pt>
              <c:pt idx="1">
                <c:v>2</c:v>
              </c:pt>
              <c:pt idx="2">
                <c:v>3</c:v>
              </c:pt>
              <c:pt idx="3">
                <c:v>4</c:v>
              </c:pt>
              <c:pt idx="4">
                <c:v>5</c:v>
              </c:pt>
              <c:pt idx="5">
                <c:v>7</c:v>
              </c:pt>
            </c:numLit>
          </c:cat>
          <c:val>
            <c:numRef>
              <c:f>(Calculations!$D$122:$H$122,Calculations!$J$122)</c:f>
              <c:numCache/>
            </c:numRef>
          </c:val>
          <c:smooth val="0"/>
        </c:ser>
        <c:marker val="1"/>
        <c:axId val="1393295"/>
        <c:axId val="12539656"/>
      </c:lineChart>
      <c:catAx>
        <c:axId val="1393295"/>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2539656"/>
        <c:crosses val="autoZero"/>
        <c:auto val="1"/>
        <c:lblOffset val="100"/>
        <c:noMultiLvlLbl val="0"/>
      </c:catAx>
      <c:valAx>
        <c:axId val="12539656"/>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393295"/>
        <c:crosses val="autoZero"/>
        <c:crossBetween val="between"/>
        <c:dispUnits/>
      </c:valAx>
      <c:spPr>
        <a:solidFill>
          <a:schemeClr val="bg1"/>
        </a:solidFill>
        <a:ln>
          <a:noFill/>
        </a:ln>
      </c:spPr>
    </c:plotArea>
    <c:legend>
      <c:legendPos val="r"/>
      <c:layout>
        <c:manualLayout>
          <c:xMode val="edge"/>
          <c:yMode val="edge"/>
          <c:x val="0.732"/>
          <c:y val="0.34275"/>
          <c:w val="0.2495"/>
          <c:h val="0.6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beneficiaries by age group (%</a:t>
            </a:r>
            <a:r>
              <a:rPr lang="en-US" cap="none" sz="1400" b="0" i="0" u="none" baseline="0">
                <a:solidFill>
                  <a:schemeClr val="tx1">
                    <a:lumMod val="65000"/>
                    <a:lumOff val="35000"/>
                  </a:schemeClr>
                </a:solidFill>
                <a:latin typeface="+mn-lt"/>
                <a:ea typeface="Calibri"/>
                <a:cs typeface="Calibri"/>
              </a:rPr>
              <a:t> of totalbeneficiaries)</a:t>
            </a:r>
          </a:p>
        </c:rich>
      </c:tx>
      <c:layout/>
      <c:overlay val="0"/>
      <c:spPr>
        <a:noFill/>
        <a:ln>
          <a:noFill/>
        </a:ln>
      </c:spPr>
    </c:title>
    <c:plotArea>
      <c:layout/>
      <c:lineChart>
        <c:grouping val="standard"/>
        <c:varyColors val="0"/>
        <c:ser>
          <c:idx val="3"/>
          <c:order val="0"/>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0"/>
            <c:dispRSqr val="0"/>
          </c:trendline>
          <c:trendline>
            <c:spPr>
              <a:ln w="19050" cap="rnd">
                <a:solidFill>
                  <a:schemeClr val="accent4"/>
                </a:solidFill>
                <a:prstDash val="sysDot"/>
              </a:ln>
            </c:spPr>
            <c:trendlineType val="linear"/>
            <c:dispEq val="1"/>
            <c:dispRSqr val="1"/>
            <c:trendlineLbl>
              <c:layout>
                <c:manualLayout>
                  <c:x val="-0.08675"/>
                  <c:y val="0.063"/>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Calculations!$E$129:$G$129</c:f>
              <c:numCache/>
            </c:numRef>
          </c:val>
          <c:smooth val="0"/>
        </c:ser>
        <c:ser>
          <c:idx val="4"/>
          <c:order val="1"/>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1205"/>
                  <c:y val="-0.110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Calculations!$E$130:$G$130</c:f>
              <c:numCache/>
            </c:numRef>
          </c:val>
          <c:smooth val="0"/>
        </c:ser>
        <c:ser>
          <c:idx val="5"/>
          <c:order val="2"/>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6"/>
                </a:solidFill>
                <a:prstDash val="sysDot"/>
              </a:ln>
            </c:spPr>
            <c:trendlineType val="linear"/>
            <c:dispEq val="1"/>
            <c:dispRSqr val="1"/>
            <c:trendlineLbl>
              <c:layout>
                <c:manualLayout>
                  <c:x val="0.1335"/>
                  <c:y val="0.051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Calculations!$E$131:$G$131</c:f>
              <c:numCache/>
            </c:numRef>
          </c:val>
          <c:smooth val="0"/>
        </c:ser>
        <c:ser>
          <c:idx val="6"/>
          <c:order val="3"/>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lumMod val="60000"/>
                  </a:schemeClr>
                </a:solidFill>
                <a:prstDash val="sysDot"/>
              </a:ln>
            </c:spPr>
            <c:trendlineType val="linear"/>
            <c:dispEq val="1"/>
            <c:dispRSqr val="1"/>
            <c:trendlineLbl>
              <c:layout>
                <c:manualLayout>
                  <c:x val="-0.0747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Calculations!$E$132:$G$132</c:f>
              <c:numCache/>
            </c:numRef>
          </c:val>
          <c:smooth val="0"/>
        </c:ser>
        <c:marker val="1"/>
        <c:axId val="45748041"/>
        <c:axId val="9079186"/>
      </c:lineChart>
      <c:catAx>
        <c:axId val="4574804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9079186"/>
        <c:crosses val="autoZero"/>
        <c:auto val="1"/>
        <c:lblOffset val="100"/>
        <c:noMultiLvlLbl val="0"/>
      </c:catAx>
      <c:valAx>
        <c:axId val="9079186"/>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5748041"/>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households (000s)</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0"/>
            <c:dispRSqr val="0"/>
          </c:trendline>
          <c:trendline>
            <c:spPr>
              <a:ln w="19050" cap="rnd">
                <a:solidFill>
                  <a:schemeClr val="accent1"/>
                </a:solidFill>
                <a:prstDash val="sysDot"/>
              </a:ln>
            </c:spPr>
            <c:trendlineType val="linear"/>
            <c:dispEq val="1"/>
            <c:dispRSqr val="1"/>
            <c:trendlineLbl>
              <c:layout>
                <c:manualLayout>
                  <c:x val="-0.19175"/>
                  <c:y val="-0.04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Calculations!$L$153:$S$153</c:f>
              <c:numCache/>
            </c:numRef>
          </c:val>
          <c:smooth val="0"/>
        </c:ser>
        <c:marker val="1"/>
        <c:axId val="14603811"/>
        <c:axId val="64325436"/>
      </c:lineChart>
      <c:catAx>
        <c:axId val="1460381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4325436"/>
        <c:crosses val="autoZero"/>
        <c:auto val="1"/>
        <c:lblOffset val="100"/>
        <c:noMultiLvlLbl val="0"/>
      </c:catAx>
      <c:valAx>
        <c:axId val="64325436"/>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4603811"/>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075"/>
          <c:y val="0.08625"/>
          <c:w val="0.7725"/>
          <c:h val="0.5335"/>
        </c:manualLayout>
      </c:layout>
      <c:barChart>
        <c:barDir val="col"/>
        <c:grouping val="clustered"/>
        <c:varyColors val="0"/>
        <c:ser>
          <c:idx val="3"/>
          <c:order val="0"/>
          <c:tx>
            <c:strRef>
              <c:f>Health!$A$57</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4"/>
          <c:order val="1"/>
          <c:tx>
            <c:strRef>
              <c:f>Health!$A$58</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5"/>
          <c:order val="2"/>
          <c:tx>
            <c:strRef>
              <c:f>Health!$A$59</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axId val="29871445"/>
        <c:axId val="407550"/>
      </c:barChart>
      <c:lineChart>
        <c:grouping val="standard"/>
        <c:varyColors val="0"/>
        <c:ser>
          <c:idx val="0"/>
          <c:order val="3"/>
          <c:tx>
            <c:strRef>
              <c:f>Health!$A$51</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Health!$D$51:$O$51</c:f>
              <c:numCache/>
            </c:numRef>
          </c:val>
          <c:smooth val="0"/>
        </c:ser>
        <c:ser>
          <c:idx val="1"/>
          <c:order val="4"/>
          <c:tx>
            <c:strRef>
              <c:f>Health!$A$52</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Health!$D$52:$O$52</c:f>
              <c:numCache/>
            </c:numRef>
          </c:val>
          <c:smooth val="0"/>
        </c:ser>
        <c:ser>
          <c:idx val="2"/>
          <c:order val="5"/>
          <c:tx>
            <c:strRef>
              <c:f>Health!$A$53</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Health!$D$53:$O$53</c:f>
              <c:numCache/>
            </c:numRef>
          </c:val>
          <c:smooth val="0"/>
        </c:ser>
        <c:axId val="3667951"/>
        <c:axId val="33011560"/>
      </c:lineChart>
      <c:catAx>
        <c:axId val="29871445"/>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07550"/>
        <c:crosses val="autoZero"/>
        <c:auto val="1"/>
        <c:lblOffset val="100"/>
        <c:noMultiLvlLbl val="0"/>
      </c:catAx>
      <c:valAx>
        <c:axId val="40755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 PHP million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9871445"/>
        <c:crosses val="max"/>
        <c:crossBetween val="between"/>
        <c:dispUnits/>
      </c:valAx>
      <c:catAx>
        <c:axId val="3667951"/>
        <c:scaling>
          <c:orientation val="minMax"/>
        </c:scaling>
        <c:axPos val="b"/>
        <c:delete val="1"/>
        <c:majorTickMark val="out"/>
        <c:minorTickMark val="none"/>
        <c:tickLblPos val="nextTo"/>
        <c:crossAx val="33011560"/>
        <c:crosses val="max"/>
        <c:auto val="1"/>
        <c:lblOffset val="100"/>
        <c:noMultiLvlLbl val="0"/>
      </c:catAx>
      <c:valAx>
        <c:axId val="33011560"/>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667951"/>
        <c:crosses val="max"/>
        <c:crossBetween val="between"/>
        <c:dispUnits/>
      </c:valAx>
      <c:spPr>
        <a:noFill/>
        <a:ln>
          <a:noFill/>
        </a:ln>
      </c:spPr>
    </c:plotArea>
    <c:legend>
      <c:legendPos val="b"/>
      <c:layout>
        <c:manualLayout>
          <c:xMode val="edge"/>
          <c:yMode val="edge"/>
          <c:x val="0.00325"/>
          <c:y val="0.676"/>
          <c:w val="0.377"/>
          <c:h val="0.31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employed)</a:t>
            </a:r>
          </a:p>
        </c:rich>
      </c:tx>
      <c:layout>
        <c:manualLayout>
          <c:xMode val="edge"/>
          <c:yMode val="edge"/>
          <c:x val="0.1475"/>
          <c:y val="0.01975"/>
        </c:manualLayout>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Calculations!$B$29:$J$29</c:f>
              <c:numCache/>
            </c:numRef>
          </c:val>
        </c:ser>
        <c:axId val="42058013"/>
        <c:axId val="42977798"/>
      </c:barChart>
      <c:catAx>
        <c:axId val="42058013"/>
        <c:scaling>
          <c:orientation val="minMax"/>
        </c:scaling>
        <c:axPos val="b"/>
        <c:delete val="0"/>
        <c:numFmt formatCode="General" sourceLinked="1"/>
        <c:majorTickMark val="out"/>
        <c:minorTickMark val="none"/>
        <c:tickLblPos val="nextTo"/>
        <c:crossAx val="42977798"/>
        <c:crosses val="autoZero"/>
        <c:auto val="1"/>
        <c:lblOffset val="100"/>
        <c:noMultiLvlLbl val="0"/>
      </c:catAx>
      <c:valAx>
        <c:axId val="42977798"/>
        <c:scaling>
          <c:orientation val="minMax"/>
        </c:scaling>
        <c:axPos val="l"/>
        <c:delete val="0"/>
        <c:numFmt formatCode="0.0%" sourceLinked="1"/>
        <c:majorTickMark val="out"/>
        <c:minorTickMark val="none"/>
        <c:tickLblPos val="nextTo"/>
        <c:crossAx val="42058013"/>
        <c:crosses val="autoZero"/>
        <c:crossBetween val="between"/>
        <c:dispUnits/>
      </c:valAx>
    </c:plotArea>
    <c:legend>
      <c:legendPos val="r"/>
      <c:layout>
        <c:manualLayout>
          <c:xMode val="edge"/>
          <c:yMode val="edge"/>
          <c:x val="0.75625"/>
          <c:y val="0.4615"/>
          <c:w val="0.233"/>
          <c:h val="0.180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K (3-5 year old)</a:t>
            </a:r>
          </a:p>
        </c:rich>
      </c:tx>
      <c:layout>
        <c:manualLayout>
          <c:xMode val="edge"/>
          <c:yMode val="edge"/>
          <c:x val="0.31225"/>
          <c:y val="0.03775"/>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Calculations!$A$62</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935"/>
                  <c:y val="-0.05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Calculations!$B$62:$K$62</c:f>
              <c:numCache/>
            </c:numRef>
          </c:val>
        </c:ser>
        <c:axId val="51255863"/>
        <c:axId val="58649584"/>
      </c:barChart>
      <c:catAx>
        <c:axId val="51255863"/>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8649584"/>
        <c:crosses val="autoZero"/>
        <c:auto val="1"/>
        <c:lblOffset val="100"/>
        <c:noMultiLvlLbl val="0"/>
      </c:catAx>
      <c:valAx>
        <c:axId val="58649584"/>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1255863"/>
        <c:crosses val="autoZero"/>
        <c:crossBetween val="between"/>
        <c:dispUnits/>
      </c:valAx>
      <c:spPr>
        <a:solidFill>
          <a:schemeClr val="bg1"/>
        </a:solidFill>
        <a:ln>
          <a:noFill/>
        </a:ln>
      </c:spPr>
    </c:plotArea>
    <c:legend>
      <c:legendPos val="r"/>
      <c:layout>
        <c:manualLayout>
          <c:xMode val="edge"/>
          <c:yMode val="edge"/>
          <c:x val="0.70925"/>
          <c:y val="0.33025"/>
          <c:w val="0.2885"/>
          <c:h val="0.367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Elementary</a:t>
            </a:r>
            <a:r>
              <a:rPr lang="en-US" cap="none" sz="1400" b="1" i="0" u="none" baseline="0">
                <a:latin typeface="Calibri"/>
                <a:ea typeface="Calibri"/>
                <a:cs typeface="Calibri"/>
              </a:rPr>
              <a:t> (6-11)</a:t>
            </a:r>
          </a:p>
        </c:rich>
      </c:tx>
      <c:layout>
        <c:manualLayout>
          <c:xMode val="edge"/>
          <c:yMode val="edge"/>
          <c:x val="0.33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Calculations!$A$64</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6"/>
                  <c:y val="-0.0897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Calculations!$B$64:$K$64</c:f>
              <c:numCache/>
            </c:numRef>
          </c:val>
        </c:ser>
        <c:axId val="58084209"/>
        <c:axId val="52995834"/>
      </c:barChart>
      <c:catAx>
        <c:axId val="58084209"/>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2995834"/>
        <c:crosses val="autoZero"/>
        <c:auto val="1"/>
        <c:lblOffset val="100"/>
        <c:noMultiLvlLbl val="0"/>
      </c:catAx>
      <c:valAx>
        <c:axId val="52995834"/>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8084209"/>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0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0"/>
          <c:order val="0"/>
          <c:tx>
            <c:strRef>
              <c:f>Calculations!$A$169</c:f>
              <c:strCache>
                <c:ptCount val="1"/>
                <c:pt idx="0">
                  <c:v>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1"/>
            <c:dispRSqr val="1"/>
            <c:trendlineLbl>
              <c:layout>
                <c:manualLayout>
                  <c:x val="-0.2305"/>
                  <c:y val="0.133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Calculations!$B$169:$Q$169</c:f>
              <c:numCache/>
            </c:numRef>
          </c:val>
          <c:smooth val="0"/>
        </c:ser>
        <c:marker val="1"/>
        <c:axId val="7200459"/>
        <c:axId val="64804132"/>
      </c:lineChart>
      <c:catAx>
        <c:axId val="720045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4804132"/>
        <c:crosses val="autoZero"/>
        <c:auto val="1"/>
        <c:lblOffset val="100"/>
        <c:noMultiLvlLbl val="0"/>
      </c:catAx>
      <c:valAx>
        <c:axId val="64804132"/>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7200459"/>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1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1"/>
          <c:order val="0"/>
          <c:tx>
            <c:strRef>
              <c:f>Calculations!$A$170</c:f>
              <c:strCache>
                <c:ptCount val="1"/>
                <c:pt idx="0">
                  <c:v>1</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2"/>
                </a:solidFill>
                <a:prstDash val="sysDot"/>
              </a:ln>
            </c:spPr>
            <c:trendlineType val="linear"/>
            <c:dispEq val="1"/>
            <c:dispRSqr val="1"/>
            <c:trendlineLbl>
              <c:layout>
                <c:manualLayout>
                  <c:x val="-0.2395"/>
                  <c:y val="0.106"/>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Calculations!$B$170:$Q$170</c:f>
              <c:numCache/>
            </c:numRef>
          </c:val>
          <c:smooth val="0"/>
        </c:ser>
        <c:marker val="1"/>
        <c:axId val="46366277"/>
        <c:axId val="14643310"/>
      </c:lineChart>
      <c:catAx>
        <c:axId val="4636627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643310"/>
        <c:crosses val="autoZero"/>
        <c:auto val="1"/>
        <c:lblOffset val="100"/>
        <c:noMultiLvlLbl val="0"/>
      </c:catAx>
      <c:valAx>
        <c:axId val="14643310"/>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6366277"/>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2 year-olds (as % of total pop)</a:t>
            </a:r>
          </a:p>
        </c:rich>
      </c:tx>
      <c:layout>
        <c:manualLayout>
          <c:xMode val="edge"/>
          <c:yMode val="edge"/>
          <c:x val="0.2655"/>
          <c:y val="0.03625"/>
        </c:manualLayout>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2"/>
          <c:order val="0"/>
          <c:tx>
            <c:strRef>
              <c:f>Calculations!$A$171</c:f>
              <c:strCache>
                <c:ptCount val="1"/>
                <c:pt idx="0">
                  <c:v>2</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3"/>
                </a:solidFill>
                <a:prstDash val="sysDot"/>
              </a:ln>
            </c:spPr>
            <c:trendlineType val="linear"/>
            <c:dispEq val="1"/>
            <c:dispRSqr val="1"/>
            <c:trendlineLbl>
              <c:layout>
                <c:manualLayout>
                  <c:x val="0.012"/>
                  <c:y val="0.18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Calculations!$B$171:$Q$171</c:f>
              <c:numCache/>
            </c:numRef>
          </c:val>
          <c:smooth val="0"/>
        </c:ser>
        <c:marker val="1"/>
        <c:axId val="64680927"/>
        <c:axId val="45257432"/>
      </c:lineChart>
      <c:catAx>
        <c:axId val="6468092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5257432"/>
        <c:crosses val="autoZero"/>
        <c:auto val="1"/>
        <c:lblOffset val="100"/>
        <c:noMultiLvlLbl val="0"/>
      </c:catAx>
      <c:valAx>
        <c:axId val="45257432"/>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680927"/>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3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3"/>
          <c:order val="0"/>
          <c:tx>
            <c:strRef>
              <c:f>Calculations!$A$172</c:f>
              <c:strCache>
                <c:ptCount val="1"/>
                <c:pt idx="0">
                  <c:v>3</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1"/>
            <c:dispRSqr val="1"/>
            <c:trendlineLbl>
              <c:layout>
                <c:manualLayout>
                  <c:x val="-0.04375"/>
                  <c:y val="0.298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Calculations!$B$172:$Q$172</c:f>
              <c:numCache/>
            </c:numRef>
          </c:val>
          <c:smooth val="0"/>
        </c:ser>
        <c:marker val="1"/>
        <c:axId val="4663705"/>
        <c:axId val="41973346"/>
      </c:lineChart>
      <c:catAx>
        <c:axId val="466370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1973346"/>
        <c:crosses val="autoZero"/>
        <c:auto val="1"/>
        <c:lblOffset val="100"/>
        <c:noMultiLvlLbl val="0"/>
      </c:catAx>
      <c:valAx>
        <c:axId val="41973346"/>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663705"/>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4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4"/>
          <c:order val="0"/>
          <c:tx>
            <c:strRef>
              <c:f>Calculations!$A$173</c:f>
              <c:strCache>
                <c:ptCount val="1"/>
                <c:pt idx="0">
                  <c:v>4</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03775"/>
                  <c:y val="0.32"/>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Calculations!$B$173:$Q$173</c:f>
              <c:numCache/>
            </c:numRef>
          </c:val>
          <c:smooth val="0"/>
        </c:ser>
        <c:marker val="1"/>
        <c:axId val="42215795"/>
        <c:axId val="44397836"/>
      </c:lineChart>
      <c:catAx>
        <c:axId val="4221579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4397836"/>
        <c:crosses val="autoZero"/>
        <c:auto val="1"/>
        <c:lblOffset val="100"/>
        <c:noMultiLvlLbl val="0"/>
      </c:catAx>
      <c:valAx>
        <c:axId val="44397836"/>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2215795"/>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4025"/>
                  <c:y val="-0.052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Calculations!$B$33:$L$33</c:f>
              <c:numCache/>
            </c:numRef>
          </c:val>
        </c:ser>
        <c:overlap val="25"/>
        <c:gapWidth val="80"/>
        <c:axId val="64036205"/>
        <c:axId val="39454934"/>
      </c:barChart>
      <c:catAx>
        <c:axId val="64036205"/>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9454934"/>
        <c:crosses val="autoZero"/>
        <c:auto val="1"/>
        <c:lblOffset val="100"/>
        <c:noMultiLvlLbl val="0"/>
      </c:catAx>
      <c:valAx>
        <c:axId val="39454934"/>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4036205"/>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2675"/>
                  <c:y val="-0.151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Calculations!$L$34:$S$34</c:f>
              <c:numCache/>
            </c:numRef>
          </c:val>
        </c:ser>
        <c:overlap val="25"/>
        <c:gapWidth val="80"/>
        <c:axId val="19550087"/>
        <c:axId val="41733056"/>
      </c:barChart>
      <c:catAx>
        <c:axId val="19550087"/>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1733056"/>
        <c:crosses val="autoZero"/>
        <c:auto val="1"/>
        <c:lblOffset val="100"/>
        <c:noMultiLvlLbl val="0"/>
      </c:catAx>
      <c:valAx>
        <c:axId val="41733056"/>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9550087"/>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2 - Children </a:t>
            </a:r>
          </a:p>
        </c:rich>
      </c:tx>
      <c:layout/>
      <c:overlay val="0"/>
      <c:spPr>
        <a:noFill/>
        <a:ln>
          <a:noFill/>
        </a:ln>
      </c:spPr>
    </c:title>
    <c:plotArea>
      <c:layout>
        <c:manualLayout>
          <c:layoutTarget val="inner"/>
          <c:xMode val="edge"/>
          <c:yMode val="edge"/>
          <c:x val="0.08475"/>
          <c:y val="0.11375"/>
          <c:w val="0.85375"/>
          <c:h val="0.5105"/>
        </c:manualLayout>
      </c:layout>
      <c:barChart>
        <c:barDir val="col"/>
        <c:grouping val="clustered"/>
        <c:varyColors val="0"/>
        <c:ser>
          <c:idx val="0"/>
          <c:order val="0"/>
          <c:tx>
            <c:strRef>
              <c:f>Children!$A$281</c:f>
              <c:strCache>
                <c:ptCount val="1"/>
                <c:pt idx="0">
                  <c:v>Scenario 1: Increase the benefits provided under 4Ps by 20%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Children!$D$281:$O$281</c:f>
              <c:numCache/>
            </c:numRef>
          </c:val>
        </c:ser>
        <c:ser>
          <c:idx val="1"/>
          <c:order val="1"/>
          <c:tx>
            <c:strRef>
              <c:f>Children!$A$282</c:f>
              <c:strCache>
                <c:ptCount val="1"/>
                <c:pt idx="0">
                  <c:v>Scenario 2: Increase the benefits provided under 4Ps by 20%, indexed on inflation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Children!$D$282:$O$282</c:f>
              <c:numCache/>
            </c:numRef>
          </c:val>
        </c:ser>
        <c:ser>
          <c:idx val="2"/>
          <c:order val="2"/>
          <c:tx>
            <c:strRef>
              <c:f>Children!$A$283</c:f>
              <c:strCache>
                <c:ptCount val="1"/>
                <c:pt idx="0">
                  <c:v>Scenario 3: Increase the 4Ps benefits by 20% and provide the education grant to all children in 4Ps households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Children!$D$283:$O$283</c:f>
              <c:numCache/>
            </c:numRef>
          </c:val>
        </c:ser>
        <c:ser>
          <c:idx val="3"/>
          <c:order val="3"/>
          <c:tx>
            <c:strRef>
              <c:f>Children!$A$284</c:f>
              <c:strCache>
                <c:ptCount val="1"/>
                <c:pt idx="0">
                  <c:v>Scenario 4: Increase the 4Ps benefits by 20%, indexed on inflation, and provide the education grant to all children in 4Ps households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Children!$D$284:$O$284</c:f>
              <c:numCache/>
            </c:numRef>
          </c:val>
        </c:ser>
        <c:ser>
          <c:idx val="4"/>
          <c:order val="4"/>
          <c:tx>
            <c:strRef>
              <c:f>Children!$A$285</c:f>
              <c:strCache>
                <c:ptCount val="1"/>
                <c:pt idx="0">
                  <c:v>Scenario 5: Provide food vouchers of PHP390, indexed on inflation, to all 7-24 months old children under 4Ps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Children!$D$285:$O$285</c:f>
              <c:numCache/>
            </c:numRef>
          </c:val>
        </c:ser>
        <c:overlap val="-27"/>
        <c:gapWidth val="219"/>
        <c:axId val="28668585"/>
        <c:axId val="56690674"/>
      </c:barChart>
      <c:catAx>
        <c:axId val="28668585"/>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6690674"/>
        <c:crosses val="autoZero"/>
        <c:auto val="1"/>
        <c:lblOffset val="100"/>
        <c:noMultiLvlLbl val="0"/>
      </c:catAx>
      <c:valAx>
        <c:axId val="56690674"/>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8668585"/>
        <c:crosses val="autoZero"/>
        <c:crossBetween val="between"/>
        <c:dispUnits/>
      </c:valAx>
      <c:spPr>
        <a:noFill/>
        <a:ln>
          <a:noFill/>
        </a:ln>
      </c:spPr>
    </c:plotArea>
    <c:legend>
      <c:legendPos val="r"/>
      <c:layout>
        <c:manualLayout>
          <c:xMode val="edge"/>
          <c:yMode val="edge"/>
          <c:x val="0.02075"/>
          <c:y val="0.73775"/>
          <c:w val="0.8195"/>
          <c:h val="0.2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Secondary</a:t>
            </a:r>
            <a:r>
              <a:rPr lang="en-US" cap="none" sz="1400" b="1" i="0" u="none" baseline="0">
                <a:latin typeface="Calibri"/>
                <a:ea typeface="Calibri"/>
                <a:cs typeface="Calibri"/>
              </a:rPr>
              <a:t> (12-15)</a:t>
            </a:r>
          </a:p>
        </c:rich>
      </c:tx>
      <c:layout>
        <c:manualLayout>
          <c:xMode val="edge"/>
          <c:yMode val="edge"/>
          <c:x val="0.37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Calculations!$A$66</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4275"/>
                  <c:y val="-0.036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Calculations!$B$66:$K$66</c:f>
              <c:numCache/>
            </c:numRef>
          </c:val>
        </c:ser>
        <c:axId val="40053185"/>
        <c:axId val="24934346"/>
      </c:barChart>
      <c:catAx>
        <c:axId val="40053185"/>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4934346"/>
        <c:crosses val="autoZero"/>
        <c:auto val="1"/>
        <c:lblOffset val="100"/>
        <c:noMultiLvlLbl val="0"/>
      </c:catAx>
      <c:valAx>
        <c:axId val="24934346"/>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0053185"/>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Employment insurance</a:t>
            </a:r>
          </a:p>
        </c:rich>
      </c:tx>
      <c:layout/>
      <c:overlay val="0"/>
      <c:spPr>
        <a:noFill/>
        <a:ln>
          <a:noFill/>
        </a:ln>
      </c:spPr>
    </c:title>
    <c:plotArea>
      <c:layout>
        <c:manualLayout>
          <c:layoutTarget val="inner"/>
          <c:xMode val="edge"/>
          <c:yMode val="edge"/>
          <c:x val="0.10225"/>
          <c:y val="0.0855"/>
          <c:w val="0.782"/>
          <c:h val="0.57175"/>
        </c:manualLayout>
      </c:layout>
      <c:barChart>
        <c:barDir val="col"/>
        <c:grouping val="clustered"/>
        <c:varyColors val="0"/>
        <c:ser>
          <c:idx val="3"/>
          <c:order val="0"/>
          <c:tx>
            <c:strRef>
              <c:f>Working!$A$255</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Working!$D$255:$O$255</c:f>
              <c:numCache/>
            </c:numRef>
          </c:val>
        </c:ser>
        <c:ser>
          <c:idx val="4"/>
          <c:order val="1"/>
          <c:tx>
            <c:strRef>
              <c:f>Working!$A$256</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Working!$D$256:$O$256</c:f>
              <c:numCache/>
            </c:numRef>
          </c:val>
        </c:ser>
        <c:ser>
          <c:idx val="5"/>
          <c:order val="2"/>
          <c:tx>
            <c:strRef>
              <c:f>Working!$A$257</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Working!$D$257:$O$257</c:f>
              <c:numCache/>
            </c:numRef>
          </c:val>
        </c:ser>
        <c:gapWidth val="219"/>
        <c:axId val="40454019"/>
        <c:axId val="28541852"/>
      </c:barChart>
      <c:lineChart>
        <c:grouping val="standard"/>
        <c:varyColors val="0"/>
        <c:ser>
          <c:idx val="0"/>
          <c:order val="3"/>
          <c:tx>
            <c:strRef>
              <c:f>Working!$A$252</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Working!$D$252:$O$252</c:f>
              <c:numCache/>
            </c:numRef>
          </c:val>
          <c:smooth val="0"/>
        </c:ser>
        <c:ser>
          <c:idx val="1"/>
          <c:order val="4"/>
          <c:tx>
            <c:strRef>
              <c:f>Working!$A$253</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Working!$D$253:$O$253</c:f>
              <c:numCache/>
            </c:numRef>
          </c:val>
          <c:smooth val="0"/>
        </c:ser>
        <c:ser>
          <c:idx val="2"/>
          <c:order val="5"/>
          <c:tx>
            <c:strRef>
              <c:f>Working!$A$254</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Working!$D$254:$O$254</c:f>
              <c:numCache/>
            </c:numRef>
          </c:val>
          <c:smooth val="0"/>
        </c:ser>
        <c:axId val="55550077"/>
        <c:axId val="30188646"/>
      </c:lineChart>
      <c:catAx>
        <c:axId val="5555007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188646"/>
        <c:crosses val="autoZero"/>
        <c:auto val="1"/>
        <c:lblOffset val="100"/>
        <c:noMultiLvlLbl val="0"/>
      </c:catAx>
      <c:valAx>
        <c:axId val="3018864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5550077"/>
        <c:crosses val="autoZero"/>
        <c:crossBetween val="between"/>
        <c:dispUnits/>
      </c:valAx>
      <c:catAx>
        <c:axId val="40454019"/>
        <c:scaling>
          <c:orientation val="minMax"/>
        </c:scaling>
        <c:axPos val="b"/>
        <c:delete val="1"/>
        <c:majorTickMark val="out"/>
        <c:minorTickMark val="none"/>
        <c:tickLblPos val="nextTo"/>
        <c:crossAx val="28541852"/>
        <c:crosses val="autoZero"/>
        <c:auto val="1"/>
        <c:lblOffset val="100"/>
        <c:noMultiLvlLbl val="0"/>
      </c:catAx>
      <c:valAx>
        <c:axId val="2854185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a:t>
                </a:r>
                <a:r>
                  <a:rPr lang="en-US" cap="none" sz="1000" b="0" i="0" u="none" baseline="0">
                    <a:solidFill>
                      <a:schemeClr val="tx1">
                        <a:lumMod val="65000"/>
                        <a:lumOff val="35000"/>
                      </a:schemeClr>
                    </a:solidFill>
                    <a:latin typeface="+mn-lt"/>
                    <a:ea typeface="Calibri"/>
                    <a:cs typeface="Calibri"/>
                  </a:rPr>
                  <a:t> PHP million</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0454019"/>
        <c:crosses val="max"/>
        <c:crossBetween val="between"/>
        <c:dispUnits/>
      </c:valAx>
      <c:spPr>
        <a:noFill/>
        <a:ln>
          <a:noFill/>
        </a:ln>
      </c:spPr>
    </c:plotArea>
    <c:legend>
      <c:legendPos val="r"/>
      <c:layout>
        <c:manualLayout>
          <c:xMode val="edge"/>
          <c:yMode val="edge"/>
          <c:x val="0"/>
          <c:y val="0.7375"/>
          <c:w val="0.3005"/>
          <c:h val="0.26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Guaranteed employment</a:t>
            </a:r>
          </a:p>
        </c:rich>
      </c:tx>
      <c:layout/>
      <c:overlay val="0"/>
      <c:spPr>
        <a:noFill/>
        <a:ln>
          <a:noFill/>
        </a:ln>
      </c:spPr>
    </c:title>
    <c:plotArea>
      <c:layout>
        <c:manualLayout>
          <c:layoutTarget val="inner"/>
          <c:xMode val="edge"/>
          <c:yMode val="edge"/>
          <c:x val="0.09875"/>
          <c:y val="0.0745"/>
          <c:w val="0.86825"/>
          <c:h val="0.609"/>
        </c:manualLayout>
      </c:layout>
      <c:lineChart>
        <c:grouping val="standard"/>
        <c:varyColors val="0"/>
        <c:ser>
          <c:idx val="0"/>
          <c:order val="0"/>
          <c:tx>
            <c:strRef>
              <c:f>Working!$A$261</c:f>
              <c:strCache>
                <c:ptCount val="1"/>
                <c:pt idx="0">
                  <c:v>Scenario 7a: Guaranteed employment for 60 days - lowest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Working!$J$261:$O$261</c:f>
              <c:numCache/>
            </c:numRef>
          </c:val>
          <c:smooth val="0"/>
        </c:ser>
        <c:ser>
          <c:idx val="1"/>
          <c:order val="1"/>
          <c:tx>
            <c:strRef>
              <c:f>Working!$A$262</c:f>
              <c:strCache>
                <c:ptCount val="1"/>
                <c:pt idx="0">
                  <c:v>Scenario 7b: Guaranteed employment for 60 days - highest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Working!$J$262:$O$262</c:f>
              <c:numCache/>
            </c:numRef>
          </c:val>
          <c:smooth val="0"/>
        </c:ser>
        <c:ser>
          <c:idx val="2"/>
          <c:order val="2"/>
          <c:tx>
            <c:strRef>
              <c:f>Working!$A$263</c:f>
              <c:strCache>
                <c:ptCount val="1"/>
                <c:pt idx="0">
                  <c:v>Scenario 8a: Guaranteed employment for 80 days - lowest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Working!$J$263:$O$263</c:f>
              <c:numCache/>
            </c:numRef>
          </c:val>
          <c:smooth val="0"/>
        </c:ser>
        <c:ser>
          <c:idx val="3"/>
          <c:order val="3"/>
          <c:tx>
            <c:strRef>
              <c:f>Working!$A$264</c:f>
              <c:strCache>
                <c:ptCount val="1"/>
                <c:pt idx="0">
                  <c:v>Scenario 8b: Guaranteed employment for 80 days - highest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Working!$J$264:$O$264</c:f>
              <c:numCache/>
            </c:numRef>
          </c:val>
          <c:smooth val="0"/>
        </c:ser>
        <c:ser>
          <c:idx val="4"/>
          <c:order val="4"/>
          <c:tx>
            <c:strRef>
              <c:f>Working!$A$265</c:f>
              <c:strCache>
                <c:ptCount val="1"/>
                <c:pt idx="0">
                  <c:v>Scenario 9a: Guaranteed employment for 100 days - lowest minimum wage </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Working!$J$265:$O$265</c:f>
              <c:numCache/>
            </c:numRef>
          </c:val>
          <c:smooth val="0"/>
        </c:ser>
        <c:ser>
          <c:idx val="5"/>
          <c:order val="5"/>
          <c:tx>
            <c:strRef>
              <c:f>Working!$A$266</c:f>
              <c:strCache>
                <c:ptCount val="1"/>
                <c:pt idx="0">
                  <c:v>Scenario 9b: Guaranteed employment for 100 days - highest minimum wage</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Working!$J$266:$O$266</c:f>
              <c:numCache/>
            </c:numRef>
          </c:val>
          <c:smooth val="0"/>
        </c:ser>
        <c:axId val="3262359"/>
        <c:axId val="29361232"/>
      </c:lineChart>
      <c:catAx>
        <c:axId val="3262359"/>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9361232"/>
        <c:crosses val="autoZero"/>
        <c:auto val="1"/>
        <c:lblOffset val="100"/>
        <c:noMultiLvlLbl val="0"/>
      </c:catAx>
      <c:valAx>
        <c:axId val="29361232"/>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262359"/>
        <c:crosses val="autoZero"/>
        <c:crossBetween val="between"/>
        <c:dispUnits/>
      </c:valAx>
      <c:spPr>
        <a:noFill/>
        <a:ln>
          <a:noFill/>
        </a:ln>
      </c:spPr>
    </c:plotArea>
    <c:legend>
      <c:legendPos val="r"/>
      <c:layout>
        <c:manualLayout>
          <c:xMode val="edge"/>
          <c:yMode val="edge"/>
          <c:x val="0"/>
          <c:y val="0.74425"/>
          <c:w val="0.75575"/>
          <c:h val="0.255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2525"/>
          <c:w val="0.90875"/>
          <c:h val="0.62475"/>
        </c:manualLayout>
      </c:layout>
      <c:lineChart>
        <c:grouping val="standard"/>
        <c:varyColors val="0"/>
        <c:ser>
          <c:idx val="0"/>
          <c:order val="0"/>
          <c:tx>
            <c:strRef>
              <c:f>Elderly!$A$207</c:f>
              <c:strCache>
                <c:ptCount val="1"/>
                <c:pt idx="0">
                  <c:v>Scenario 1: Provide a social pension of PHP750 per month, indexed inflation, to all poor elderly aged 60+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Elderly!$D$207:$O$207</c:f>
              <c:numCache/>
            </c:numRef>
          </c:val>
          <c:smooth val="0"/>
        </c:ser>
        <c:ser>
          <c:idx val="1"/>
          <c:order val="1"/>
          <c:tx>
            <c:strRef>
              <c:f>Elderly!$A$208</c:f>
              <c:strCache>
                <c:ptCount val="1"/>
                <c:pt idx="0">
                  <c:v>Scenario 2: Provide a social pension of PHP1,000 per month, indexed inflation, to all poor elderly aged 60+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Elderly!$D$208:$O$208</c:f>
              <c:numCache/>
            </c:numRef>
          </c:val>
          <c:smooth val="0"/>
        </c:ser>
        <c:ser>
          <c:idx val="2"/>
          <c:order val="2"/>
          <c:tx>
            <c:strRef>
              <c:f>Elderly!$A$209</c:f>
              <c:strCache>
                <c:ptCount val="1"/>
                <c:pt idx="0">
                  <c:v>Scenario 3a: Provide a social pension for 60+ year olds, and universal pension for 80+ year olds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Elderly!$D$209:$O$209</c:f>
              <c:numCache/>
            </c:numRef>
          </c:val>
          <c:smooth val="0"/>
        </c:ser>
        <c:ser>
          <c:idx val="3"/>
          <c:order val="3"/>
          <c:tx>
            <c:strRef>
              <c:f>Elderly!$A$210</c:f>
              <c:strCache>
                <c:ptCount val="1"/>
                <c:pt idx="0">
                  <c:v>Scenario 3b: Provide a social pension for 60+ year olds, and universal pension for 70+ year olds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Elderly!$D$210:$O$210</c:f>
              <c:numCache/>
            </c:numRef>
          </c:val>
          <c:smooth val="0"/>
        </c:ser>
        <c:ser>
          <c:idx val="4"/>
          <c:order val="4"/>
          <c:tx>
            <c:strRef>
              <c:f>Elderly!$A$211</c:f>
              <c:strCache>
                <c:ptCount val="1"/>
                <c:pt idx="0">
                  <c:v>Scenario 4: Provide a social pension of PHP750 per month, indexed inflation, to all elderly aged 60+ without pension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Elderly!$D$211:$O$211</c:f>
              <c:numCache/>
            </c:numRef>
          </c:val>
          <c:smooth val="0"/>
        </c:ser>
        <c:ser>
          <c:idx val="5"/>
          <c:order val="5"/>
          <c:tx>
            <c:strRef>
              <c:f>Elderly!$A$212</c:f>
              <c:strCache>
                <c:ptCount val="1"/>
                <c:pt idx="0">
                  <c:v>Scenario 5: Provide a social pension of PHP1,000 per month, indexed inflation, to all elderly aged 60+ without pension</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Elderly!$D$212:$O$212</c:f>
              <c:numCache/>
            </c:numRef>
          </c:val>
          <c:smooth val="0"/>
        </c:ser>
        <c:ser>
          <c:idx val="6"/>
          <c:order val="6"/>
          <c:tx>
            <c:strRef>
              <c:f>Elderly!$A$213</c:f>
              <c:strCache>
                <c:ptCount val="1"/>
                <c:pt idx="0">
                  <c:v>Scenario 6: Provide a social pension of PHP750 per month, indexed inflation, to all senior citizens aged 60+</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Elderly!$D$213:$O$213</c:f>
              <c:numCache/>
            </c:numRef>
          </c:val>
          <c:smooth val="0"/>
        </c:ser>
        <c:ser>
          <c:idx val="7"/>
          <c:order val="7"/>
          <c:tx>
            <c:strRef>
              <c:f>Elderly!$A$214</c:f>
              <c:strCache>
                <c:ptCount val="1"/>
                <c:pt idx="0">
                  <c:v>Scenario 7: Provide a social pension of PHP1000 per month, indexed inflation, to all senior citizens aged 60+</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Elderly!$D$214:$O$214</c:f>
              <c:numCache/>
            </c:numRef>
          </c:val>
          <c:smooth val="0"/>
        </c:ser>
        <c:marker val="1"/>
        <c:axId val="62924497"/>
        <c:axId val="29449562"/>
      </c:lineChart>
      <c:catAx>
        <c:axId val="6292449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9449562"/>
        <c:crosses val="autoZero"/>
        <c:auto val="1"/>
        <c:lblOffset val="100"/>
        <c:noMultiLvlLbl val="0"/>
      </c:catAx>
      <c:valAx>
        <c:axId val="2944956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a:t>
                </a:r>
                <a:r>
                  <a:rPr lang="en-US" cap="none" sz="1000" b="0" i="0" u="none" baseline="0">
                    <a:solidFill>
                      <a:schemeClr val="tx1">
                        <a:lumMod val="65000"/>
                        <a:lumOff val="35000"/>
                      </a:schemeClr>
                    </a:solidFill>
                    <a:latin typeface="+mn-lt"/>
                    <a:ea typeface="Calibri"/>
                    <a:cs typeface="Calibri"/>
                  </a:rPr>
                  <a:t> as share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2924497"/>
        <c:crosses val="autoZero"/>
        <c:crossBetween val="between"/>
        <c:dispUnits/>
      </c:valAx>
      <c:spPr>
        <a:noFill/>
        <a:ln>
          <a:noFill/>
        </a:ln>
      </c:spPr>
    </c:plotArea>
    <c:legend>
      <c:legendPos val="r"/>
      <c:layout>
        <c:manualLayout>
          <c:xMode val="edge"/>
          <c:yMode val="edge"/>
          <c:x val="0.00025"/>
          <c:y val="0.70725"/>
          <c:w val="0.84025"/>
          <c:h val="0.29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05"/>
          <c:w val="0.889"/>
          <c:h val="0.56075"/>
        </c:manualLayout>
      </c:layout>
      <c:barChart>
        <c:barDir val="col"/>
        <c:grouping val="percentStacked"/>
        <c:varyColors val="0"/>
        <c:ser>
          <c:idx val="0"/>
          <c:order val="0"/>
          <c:tx>
            <c:strRef>
              <c:f>Elderly!$A$230</c:f>
              <c:strCache>
                <c:ptCount val="1"/>
                <c:pt idx="0">
                  <c:v>Scenario 1 &amp; 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Elderly!$D$230:$O$230</c:f>
              <c:numCache/>
            </c:numRef>
          </c:val>
        </c:ser>
        <c:ser>
          <c:idx val="1"/>
          <c:order val="1"/>
          <c:tx>
            <c:strRef>
              <c:f>Elderly!$A$231</c:f>
              <c:strCache>
                <c:ptCount val="1"/>
                <c:pt idx="0">
                  <c:v>Scenario 3a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Elderly!$D$231:$O$231</c:f>
              <c:numCache/>
            </c:numRef>
          </c:val>
        </c:ser>
        <c:ser>
          <c:idx val="2"/>
          <c:order val="2"/>
          <c:tx>
            <c:strRef>
              <c:f>Elderly!$A$232</c:f>
              <c:strCache>
                <c:ptCount val="1"/>
                <c:pt idx="0">
                  <c:v>Scenario 3b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Elderly!$D$232:$O$232</c:f>
              <c:numCache/>
            </c:numRef>
          </c:val>
        </c:ser>
        <c:ser>
          <c:idx val="3"/>
          <c:order val="3"/>
          <c:tx>
            <c:strRef>
              <c:f>Elderly!$A$233</c:f>
              <c:strCache>
                <c:ptCount val="1"/>
                <c:pt idx="0">
                  <c:v>Scenario 4 &amp; 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Elderly!$D$233:$O$233</c:f>
              <c:numCache/>
            </c:numRef>
          </c:val>
        </c:ser>
        <c:ser>
          <c:idx val="4"/>
          <c:order val="4"/>
          <c:tx>
            <c:strRef>
              <c:f>Elderly!$A$234</c:f>
              <c:strCache>
                <c:ptCount val="1"/>
                <c:pt idx="0">
                  <c:v>Scenario 6 &amp; 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Elderly!$D$234:$O$234</c:f>
              <c:numCache/>
            </c:numRef>
          </c:val>
        </c:ser>
        <c:overlap val="100"/>
        <c:gapWidth val="219"/>
        <c:axId val="63719467"/>
        <c:axId val="36604292"/>
      </c:barChart>
      <c:catAx>
        <c:axId val="6371946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6604292"/>
        <c:crosses val="autoZero"/>
        <c:auto val="1"/>
        <c:lblOffset val="100"/>
        <c:noMultiLvlLbl val="0"/>
      </c:catAx>
      <c:valAx>
        <c:axId val="36604292"/>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Cumulative coverage as share of elderly 60+</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3719467"/>
        <c:crosses val="autoZero"/>
        <c:crossBetween val="between"/>
        <c:dispUnits/>
      </c:valAx>
      <c:spPr>
        <a:noFill/>
        <a:ln>
          <a:noFill/>
        </a:ln>
      </c:spPr>
    </c:plotArea>
    <c:legend>
      <c:legendPos val="r"/>
      <c:layout>
        <c:manualLayout>
          <c:xMode val="edge"/>
          <c:yMode val="edge"/>
          <c:x val="0.03125"/>
          <c:y val="0.66825"/>
          <c:w val="0.16275"/>
          <c:h val="0.2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7"/>
          <c:y val="0.07675"/>
          <c:w val="0.805"/>
          <c:h val="0.7915"/>
        </c:manualLayout>
      </c:layout>
      <c:barChart>
        <c:barDir val="col"/>
        <c:grouping val="stacked"/>
        <c:varyColors val="0"/>
        <c:ser>
          <c:idx val="0"/>
          <c:order val="0"/>
          <c:tx>
            <c:strRef>
              <c:f>Summary!$A$64</c:f>
              <c:strCache>
                <c:ptCount val="1"/>
                <c:pt idx="0">
                  <c:v>Health care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Summary!$F$64:$AC$64</c:f>
              <c:numCache/>
            </c:numRef>
          </c:val>
        </c:ser>
        <c:ser>
          <c:idx val="1"/>
          <c:order val="1"/>
          <c:tx>
            <c:strRef>
              <c:f>Summary!$A$65</c:f>
              <c:strCache>
                <c:ptCount val="1"/>
                <c:pt idx="0">
                  <c:v>Children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Summary!$F$65:$AC$65</c:f>
              <c:numCache/>
            </c:numRef>
          </c:val>
        </c:ser>
        <c:ser>
          <c:idx val="2"/>
          <c:order val="2"/>
          <c:tx>
            <c:strRef>
              <c:f>Summary!$A$66</c:f>
              <c:strCache>
                <c:ptCount val="1"/>
                <c:pt idx="0">
                  <c:v>Working age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Summary!$F$66:$AC$66</c:f>
              <c:numCache/>
            </c:numRef>
          </c:val>
        </c:ser>
        <c:ser>
          <c:idx val="3"/>
          <c:order val="3"/>
          <c:tx>
            <c:strRef>
              <c:f>Summary!$A$67</c:f>
              <c:strCache>
                <c:ptCount val="1"/>
                <c:pt idx="0">
                  <c:v>Elderly</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Summary!$F$67:$AC$67</c:f>
              <c:numCache/>
            </c:numRef>
          </c:val>
        </c:ser>
        <c:ser>
          <c:idx val="4"/>
          <c:order val="4"/>
          <c:tx>
            <c:strRef>
              <c:f>Summary!$A$68</c:f>
              <c:strCache>
                <c:ptCount val="1"/>
                <c:pt idx="0">
                  <c:v>PWDs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Summary!$F$68:$AC$68</c:f>
              <c:numCache/>
            </c:numRef>
          </c:val>
        </c:ser>
        <c:overlap val="100"/>
        <c:gapWidth val="55"/>
        <c:axId val="61003173"/>
        <c:axId val="12157646"/>
      </c:barChart>
      <c:catAx>
        <c:axId val="6100317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2157646"/>
        <c:crosses val="autoZero"/>
        <c:auto val="1"/>
        <c:lblOffset val="100"/>
        <c:noMultiLvlLbl val="0"/>
      </c:catAx>
      <c:valAx>
        <c:axId val="12157646"/>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share of GDP</a:t>
                </a:r>
              </a:p>
            </c:rich>
          </c:tx>
          <c:layout/>
          <c:overlay val="0"/>
          <c:spPr>
            <a:noFill/>
            <a:ln>
              <a:noFill/>
            </a:ln>
          </c:spPr>
        </c:title>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1003173"/>
        <c:crosses val="autoZero"/>
        <c:crossBetween val="between"/>
        <c:dispUnits/>
      </c:valAx>
      <c:spPr>
        <a:noFill/>
        <a:ln>
          <a:noFill/>
        </a:ln>
      </c:spPr>
    </c:plotArea>
    <c:legend>
      <c:legendPos val="r"/>
      <c:layout>
        <c:manualLayout>
          <c:xMode val="edge"/>
          <c:yMode val="edge"/>
          <c:x val="0.868"/>
          <c:y val="0.55375"/>
          <c:w val="0.13"/>
          <c:h val="0.32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605"/>
          <c:y val="0.07975"/>
          <c:w val="0.69725"/>
          <c:h val="0.7915"/>
        </c:manualLayout>
      </c:layout>
      <c:barChart>
        <c:barDir val="col"/>
        <c:grouping val="stacked"/>
        <c:varyColors val="0"/>
        <c:ser>
          <c:idx val="0"/>
          <c:order val="0"/>
          <c:tx>
            <c:strRef>
              <c:f>Summary!$S$15</c:f>
              <c:strCache>
                <c:ptCount val="1"/>
                <c:pt idx="0">
                  <c:v>PhilHealth subsidy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Summary!$V$15:$AG$15</c:f>
              <c:numCache/>
            </c:numRef>
          </c:val>
        </c:ser>
        <c:ser>
          <c:idx val="1"/>
          <c:order val="1"/>
          <c:tx>
            <c:strRef>
              <c:f>Summary!$S$16</c:f>
              <c:strCache>
                <c:ptCount val="1"/>
                <c:pt idx="0">
                  <c:v>4Ps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Summary!$V$16:$AG$16</c:f>
              <c:numCache/>
            </c:numRef>
          </c:val>
        </c:ser>
        <c:ser>
          <c:idx val="2"/>
          <c:order val="2"/>
          <c:tx>
            <c:strRef>
              <c:f>Summary!$S$17</c:f>
              <c:strCache>
                <c:ptCount val="1"/>
                <c:pt idx="0">
                  <c:v>Food voucher 7-24 month-olds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Summary!$V$17:$AG$17</c:f>
              <c:numCache/>
            </c:numRef>
          </c:val>
        </c:ser>
        <c:ser>
          <c:idx val="3"/>
          <c:order val="3"/>
          <c:tx>
            <c:strRef>
              <c:f>Summary!$S$18</c:f>
              <c:strCache>
                <c:ptCount val="1"/>
                <c:pt idx="0">
                  <c:v>Supplementary Feeding Program</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Summary!$V$18:$AG$18</c:f>
              <c:numCache/>
            </c:numRef>
          </c:val>
        </c:ser>
        <c:ser>
          <c:idx val="4"/>
          <c:order val="4"/>
          <c:tx>
            <c:strRef>
              <c:f>Summary!$S$19</c:f>
              <c:strCache>
                <c:ptCount val="1"/>
                <c:pt idx="0">
                  <c:v>Employment Insurance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Summary!$V$19:$AG$19</c:f>
              <c:numCache/>
            </c:numRef>
          </c:val>
        </c:ser>
        <c:ser>
          <c:idx val="5"/>
          <c:order val="5"/>
          <c:tx>
            <c:strRef>
              <c:f>Summary!$S$20</c:f>
              <c:strCache>
                <c:ptCount val="1"/>
                <c:pt idx="0">
                  <c:v>SSS subsidy</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Summary!$V$20:$AG$20</c:f>
              <c:numCache/>
            </c:numRef>
          </c:val>
        </c:ser>
        <c:ser>
          <c:idx val="6"/>
          <c:order val="6"/>
          <c:tx>
            <c:strRef>
              <c:f>Summary!$S$21</c:f>
              <c:strCache>
                <c:ptCount val="1"/>
                <c:pt idx="0">
                  <c:v>Guaranteed employment</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Summary!$V$21:$AG$21</c:f>
              <c:numCache/>
            </c:numRef>
          </c:val>
        </c:ser>
        <c:ser>
          <c:idx val="7"/>
          <c:order val="7"/>
          <c:tx>
            <c:strRef>
              <c:f>Summary!$S$22</c:f>
              <c:strCache>
                <c:ptCount val="1"/>
                <c:pt idx="0">
                  <c:v>TESDA allowance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Summary!$V$22:$AG$22</c:f>
              <c:numCache/>
            </c:numRef>
          </c:val>
        </c:ser>
        <c:ser>
          <c:idx val="8"/>
          <c:order val="8"/>
          <c:tx>
            <c:strRef>
              <c:f>Summary!$S$23</c:f>
              <c:strCache>
                <c:ptCount val="1"/>
                <c:pt idx="0">
                  <c:v>Social pension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Summary!$V$23:$AG$23</c:f>
              <c:numCache/>
            </c:numRef>
          </c:val>
        </c:ser>
        <c:ser>
          <c:idx val="9"/>
          <c:order val="9"/>
          <c:tx>
            <c:strRef>
              <c:f>Summary!$S$24</c:f>
              <c:strCache>
                <c:ptCount val="1"/>
                <c:pt idx="0">
                  <c:v>Disability allowance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Summary!$V$24:$AG$24</c:f>
              <c:numCache/>
            </c:numRef>
          </c:val>
        </c:ser>
        <c:overlap val="100"/>
        <c:gapWidth val="55"/>
        <c:axId val="42309951"/>
        <c:axId val="45245240"/>
      </c:barChart>
      <c:catAx>
        <c:axId val="42309951"/>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45245240"/>
        <c:crosses val="autoZero"/>
        <c:auto val="1"/>
        <c:lblOffset val="100"/>
        <c:noMultiLvlLbl val="0"/>
      </c:catAx>
      <c:valAx>
        <c:axId val="45245240"/>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2309951"/>
        <c:crosses val="autoZero"/>
        <c:crossBetween val="between"/>
        <c:dispUnits/>
      </c:valAx>
      <c:spPr>
        <a:noFill/>
        <a:ln>
          <a:noFill/>
        </a:ln>
      </c:spPr>
    </c:plotArea>
    <c:legend>
      <c:legendPos val="r"/>
      <c:layout>
        <c:manualLayout>
          <c:xMode val="edge"/>
          <c:yMode val="edge"/>
          <c:x val="0.76875"/>
          <c:y val="0.31175"/>
          <c:w val="0.23125"/>
          <c:h val="0.5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3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4</xdr:row>
      <xdr:rowOff>0</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33450"/>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680650"/>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6899850"/>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376225"/>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024050"/>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199572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109</xdr:row>
      <xdr:rowOff>47625</xdr:rowOff>
    </xdr:to>
    <xdr:pic>
      <xdr:nvPicPr>
        <xdr:cNvPr id="3079" name="Picture 3"/>
        <xdr:cNvPicPr preferRelativeResize="1">
          <a:picLocks noChangeAspect="1"/>
        </xdr:cNvPicPr>
      </xdr:nvPicPr>
      <xdr:blipFill>
        <a:blip r:embed="rId7"/>
        <a:stretch>
          <a:fillRect/>
        </a:stretch>
      </xdr:blipFill>
      <xdr:spPr bwMode="auto">
        <a:xfrm>
          <a:off x="609600" y="24860250"/>
          <a:ext cx="4133850" cy="36385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86</xdr:row>
      <xdr:rowOff>76200</xdr:rowOff>
    </xdr:to>
    <xdr:pic>
      <xdr:nvPicPr>
        <xdr:cNvPr id="3080" name="Picture 5"/>
        <xdr:cNvPicPr preferRelativeResize="1">
          <a:picLocks noChangeAspect="1"/>
        </xdr:cNvPicPr>
      </xdr:nvPicPr>
      <xdr:blipFill>
        <a:blip r:embed="rId8"/>
        <a:stretch>
          <a:fillRect/>
        </a:stretch>
      </xdr:blipFill>
      <xdr:spPr bwMode="auto">
        <a:xfrm>
          <a:off x="57150" y="18688050"/>
          <a:ext cx="5772150" cy="38576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63</xdr:row>
      <xdr:rowOff>133350</xdr:rowOff>
    </xdr:to>
    <xdr:pic>
      <xdr:nvPicPr>
        <xdr:cNvPr id="3081" name="Picture 6"/>
        <xdr:cNvPicPr preferRelativeResize="1">
          <a:picLocks noChangeAspect="1"/>
        </xdr:cNvPicPr>
      </xdr:nvPicPr>
      <xdr:blipFill>
        <a:blip r:embed="rId9"/>
        <a:stretch>
          <a:fillRect/>
        </a:stretch>
      </xdr:blipFill>
      <xdr:spPr bwMode="auto">
        <a:xfrm>
          <a:off x="314325" y="15144750"/>
          <a:ext cx="4810125" cy="30765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61</xdr:row>
      <xdr:rowOff>0</xdr:rowOff>
    </xdr:from>
    <xdr:to>
      <xdr:col>4</xdr:col>
      <xdr:colOff>285750</xdr:colOff>
      <xdr:row>86</xdr:row>
      <xdr:rowOff>28575</xdr:rowOff>
    </xdr:to>
    <xdr:graphicFrame macro="">
      <xdr:nvGraphicFramePr>
        <xdr:cNvPr id="4" name="Diagramm 3"/>
        <xdr:cNvGraphicFramePr/>
      </xdr:nvGraphicFramePr>
      <xdr:xfrm>
        <a:off x="695325" y="11601450"/>
        <a:ext cx="5181600" cy="4791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61</xdr:row>
      <xdr:rowOff>38100</xdr:rowOff>
    </xdr:from>
    <xdr:to>
      <xdr:col>14</xdr:col>
      <xdr:colOff>123825</xdr:colOff>
      <xdr:row>87</xdr:row>
      <xdr:rowOff>19050</xdr:rowOff>
    </xdr:to>
    <xdr:graphicFrame macro="">
      <xdr:nvGraphicFramePr>
        <xdr:cNvPr id="3" name="Diagramm 2"/>
        <xdr:cNvGraphicFramePr/>
      </xdr:nvGraphicFramePr>
      <xdr:xfrm>
        <a:off x="6534150" y="11639550"/>
        <a:ext cx="6324600" cy="4933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287</xdr:row>
      <xdr:rowOff>19050</xdr:rowOff>
    </xdr:from>
    <xdr:to>
      <xdr:col>8</xdr:col>
      <xdr:colOff>285750</xdr:colOff>
      <xdr:row>319</xdr:row>
      <xdr:rowOff>38100</xdr:rowOff>
    </xdr:to>
    <xdr:graphicFrame macro="">
      <xdr:nvGraphicFramePr>
        <xdr:cNvPr id="2" name="Diagramm 1"/>
        <xdr:cNvGraphicFramePr/>
      </xdr:nvGraphicFramePr>
      <xdr:xfrm>
        <a:off x="1133475" y="54521100"/>
        <a:ext cx="793432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266</xdr:row>
      <xdr:rowOff>76200</xdr:rowOff>
    </xdr:from>
    <xdr:to>
      <xdr:col>6</xdr:col>
      <xdr:colOff>457200</xdr:colOff>
      <xdr:row>294</xdr:row>
      <xdr:rowOff>133350</xdr:rowOff>
    </xdr:to>
    <xdr:graphicFrame macro="">
      <xdr:nvGraphicFramePr>
        <xdr:cNvPr id="2" name="Diagramm 1"/>
        <xdr:cNvGraphicFramePr/>
      </xdr:nvGraphicFramePr>
      <xdr:xfrm>
        <a:off x="123825" y="50653950"/>
        <a:ext cx="6838950" cy="539115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269</xdr:row>
      <xdr:rowOff>0</xdr:rowOff>
    </xdr:from>
    <xdr:to>
      <xdr:col>15</xdr:col>
      <xdr:colOff>0</xdr:colOff>
      <xdr:row>298</xdr:row>
      <xdr:rowOff>9525</xdr:rowOff>
    </xdr:to>
    <xdr:graphicFrame macro="">
      <xdr:nvGraphicFramePr>
        <xdr:cNvPr id="3" name="Diagramm 2"/>
        <xdr:cNvGraphicFramePr/>
      </xdr:nvGraphicFramePr>
      <xdr:xfrm>
        <a:off x="7419975" y="51149250"/>
        <a:ext cx="5514975" cy="5534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235</xdr:row>
      <xdr:rowOff>47625</xdr:rowOff>
    </xdr:from>
    <xdr:to>
      <xdr:col>7</xdr:col>
      <xdr:colOff>85725</xdr:colOff>
      <xdr:row>267</xdr:row>
      <xdr:rowOff>76200</xdr:rowOff>
    </xdr:to>
    <xdr:graphicFrame macro="">
      <xdr:nvGraphicFramePr>
        <xdr:cNvPr id="2" name="Diagramm 1"/>
        <xdr:cNvGraphicFramePr/>
      </xdr:nvGraphicFramePr>
      <xdr:xfrm>
        <a:off x="285750" y="44834175"/>
        <a:ext cx="7305675" cy="61245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236</xdr:row>
      <xdr:rowOff>0</xdr:rowOff>
    </xdr:from>
    <xdr:to>
      <xdr:col>15</xdr:col>
      <xdr:colOff>1828800</xdr:colOff>
      <xdr:row>265</xdr:row>
      <xdr:rowOff>38100</xdr:rowOff>
    </xdr:to>
    <xdr:graphicFrame macro="">
      <xdr:nvGraphicFramePr>
        <xdr:cNvPr id="4" name="Diagramm 3"/>
        <xdr:cNvGraphicFramePr/>
      </xdr:nvGraphicFramePr>
      <xdr:xfrm>
        <a:off x="8086725" y="44977050"/>
        <a:ext cx="6962775" cy="5562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69</xdr:row>
      <xdr:rowOff>152400</xdr:rowOff>
    </xdr:from>
    <xdr:to>
      <xdr:col>5</xdr:col>
      <xdr:colOff>514350</xdr:colOff>
      <xdr:row>96</xdr:row>
      <xdr:rowOff>66675</xdr:rowOff>
    </xdr:to>
    <xdr:graphicFrame macro="">
      <xdr:nvGraphicFramePr>
        <xdr:cNvPr id="3" name="Chart 2"/>
        <xdr:cNvGraphicFramePr/>
      </xdr:nvGraphicFramePr>
      <xdr:xfrm>
        <a:off x="514350" y="13220700"/>
        <a:ext cx="9153525" cy="5048250"/>
      </xdr:xfrm>
      <a:graphic>
        <a:graphicData uri="http://schemas.openxmlformats.org/drawingml/2006/chart">
          <c:chart xmlns:c="http://schemas.openxmlformats.org/drawingml/2006/chart" r:id="rId1"/>
        </a:graphicData>
      </a:graphic>
    </xdr:graphicFrame>
    <xdr:clientData/>
  </xdr:twoCellAnchor>
  <xdr:twoCellAnchor>
    <xdr:from>
      <xdr:col>17</xdr:col>
      <xdr:colOff>428625</xdr:colOff>
      <xdr:row>25</xdr:row>
      <xdr:rowOff>133350</xdr:rowOff>
    </xdr:from>
    <xdr:to>
      <xdr:col>29</xdr:col>
      <xdr:colOff>381000</xdr:colOff>
      <xdr:row>47</xdr:row>
      <xdr:rowOff>0</xdr:rowOff>
    </xdr:to>
    <xdr:graphicFrame macro="">
      <xdr:nvGraphicFramePr>
        <xdr:cNvPr id="4" name="Chart 2"/>
        <xdr:cNvGraphicFramePr/>
      </xdr:nvGraphicFramePr>
      <xdr:xfrm>
        <a:off x="17802225" y="4953000"/>
        <a:ext cx="7610475" cy="3924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19</xdr:row>
      <xdr:rowOff>104775</xdr:rowOff>
    </xdr:from>
    <xdr:to>
      <xdr:col>7</xdr:col>
      <xdr:colOff>28575</xdr:colOff>
      <xdr:row>37</xdr:row>
      <xdr:rowOff>85725</xdr:rowOff>
    </xdr:to>
    <xdr:graphicFrame macro="">
      <xdr:nvGraphicFramePr>
        <xdr:cNvPr id="2" name="Diagramm 1"/>
        <xdr:cNvGraphicFramePr/>
      </xdr:nvGraphicFramePr>
      <xdr:xfrm>
        <a:off x="1352550" y="3762375"/>
        <a:ext cx="5676900"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123825</xdr:rowOff>
    </xdr:from>
    <xdr:to>
      <xdr:col>5</xdr:col>
      <xdr:colOff>57150</xdr:colOff>
      <xdr:row>20</xdr:row>
      <xdr:rowOff>9525</xdr:rowOff>
    </xdr:to>
    <xdr:graphicFrame macro="">
      <xdr:nvGraphicFramePr>
        <xdr:cNvPr id="13" name="Chart 12"/>
        <xdr:cNvGraphicFramePr/>
      </xdr:nvGraphicFramePr>
      <xdr:xfrm>
        <a:off x="257175" y="695325"/>
        <a:ext cx="4514850" cy="311467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4</xdr:row>
      <xdr:rowOff>0</xdr:rowOff>
    </xdr:from>
    <xdr:to>
      <xdr:col>12</xdr:col>
      <xdr:colOff>495300</xdr:colOff>
      <xdr:row>20</xdr:row>
      <xdr:rowOff>47625</xdr:rowOff>
    </xdr:to>
    <xdr:graphicFrame macro="">
      <xdr:nvGraphicFramePr>
        <xdr:cNvPr id="3" name="Chart 2"/>
        <xdr:cNvGraphicFramePr/>
      </xdr:nvGraphicFramePr>
      <xdr:xfrm>
        <a:off x="4857750" y="762000"/>
        <a:ext cx="451485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101</xdr:row>
      <xdr:rowOff>152400</xdr:rowOff>
    </xdr:from>
    <xdr:to>
      <xdr:col>4</xdr:col>
      <xdr:colOff>247650</xdr:colOff>
      <xdr:row>117</xdr:row>
      <xdr:rowOff>57150</xdr:rowOff>
    </xdr:to>
    <xdr:graphicFrame macro="">
      <xdr:nvGraphicFramePr>
        <xdr:cNvPr id="10" name="Chart 9"/>
        <xdr:cNvGraphicFramePr/>
      </xdr:nvGraphicFramePr>
      <xdr:xfrm>
        <a:off x="85725" y="19278600"/>
        <a:ext cx="4286250" cy="295275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101</xdr:row>
      <xdr:rowOff>142875</xdr:rowOff>
    </xdr:from>
    <xdr:to>
      <xdr:col>18</xdr:col>
      <xdr:colOff>571500</xdr:colOff>
      <xdr:row>117</xdr:row>
      <xdr:rowOff>47625</xdr:rowOff>
    </xdr:to>
    <xdr:graphicFrame macro="">
      <xdr:nvGraphicFramePr>
        <xdr:cNvPr id="11" name="Chart 10"/>
        <xdr:cNvGraphicFramePr/>
      </xdr:nvGraphicFramePr>
      <xdr:xfrm>
        <a:off x="8896350" y="19269075"/>
        <a:ext cx="4114800" cy="2952750"/>
      </xdr:xfrm>
      <a:graphic>
        <a:graphicData uri="http://schemas.openxmlformats.org/drawingml/2006/chart">
          <c:chart xmlns:c="http://schemas.openxmlformats.org/drawingml/2006/chart" r:id="rId4"/>
        </a:graphicData>
      </a:graphic>
    </xdr:graphicFrame>
    <xdr:clientData/>
  </xdr:twoCellAnchor>
  <xdr:twoCellAnchor>
    <xdr:from>
      <xdr:col>13</xdr:col>
      <xdr:colOff>9525</xdr:colOff>
      <xdr:row>4</xdr:row>
      <xdr:rowOff>0</xdr:rowOff>
    </xdr:from>
    <xdr:to>
      <xdr:col>19</xdr:col>
      <xdr:colOff>742950</xdr:colOff>
      <xdr:row>20</xdr:row>
      <xdr:rowOff>47625</xdr:rowOff>
    </xdr:to>
    <xdr:graphicFrame macro="">
      <xdr:nvGraphicFramePr>
        <xdr:cNvPr id="14" name="Chart 2"/>
        <xdr:cNvGraphicFramePr/>
      </xdr:nvGraphicFramePr>
      <xdr:xfrm>
        <a:off x="9477375" y="762000"/>
        <a:ext cx="4371975" cy="3086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38</xdr:row>
      <xdr:rowOff>38100</xdr:rowOff>
    </xdr:from>
    <xdr:to>
      <xdr:col>4</xdr:col>
      <xdr:colOff>219075</xdr:colOff>
      <xdr:row>52</xdr:row>
      <xdr:rowOff>28575</xdr:rowOff>
    </xdr:to>
    <xdr:graphicFrame macro="">
      <xdr:nvGraphicFramePr>
        <xdr:cNvPr id="7" name="Diagramm 6"/>
        <xdr:cNvGraphicFramePr/>
      </xdr:nvGraphicFramePr>
      <xdr:xfrm>
        <a:off x="95250" y="7210425"/>
        <a:ext cx="4248150" cy="2657475"/>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101</xdr:row>
      <xdr:rowOff>152400</xdr:rowOff>
    </xdr:from>
    <xdr:to>
      <xdr:col>11</xdr:col>
      <xdr:colOff>428625</xdr:colOff>
      <xdr:row>117</xdr:row>
      <xdr:rowOff>66675</xdr:rowOff>
    </xdr:to>
    <xdr:graphicFrame macro="">
      <xdr:nvGraphicFramePr>
        <xdr:cNvPr id="15" name="Chart 10"/>
        <xdr:cNvGraphicFramePr/>
      </xdr:nvGraphicFramePr>
      <xdr:xfrm>
        <a:off x="4505325" y="19269075"/>
        <a:ext cx="4210050" cy="2962275"/>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133</xdr:row>
      <xdr:rowOff>19050</xdr:rowOff>
    </xdr:from>
    <xdr:to>
      <xdr:col>6</xdr:col>
      <xdr:colOff>0</xdr:colOff>
      <xdr:row>148</xdr:row>
      <xdr:rowOff>66675</xdr:rowOff>
    </xdr:to>
    <xdr:graphicFrame macro="">
      <xdr:nvGraphicFramePr>
        <xdr:cNvPr id="2" name="Diagramm 1"/>
        <xdr:cNvGraphicFramePr/>
      </xdr:nvGraphicFramePr>
      <xdr:xfrm>
        <a:off x="314325" y="25184100"/>
        <a:ext cx="4991100" cy="2905125"/>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133</xdr:row>
      <xdr:rowOff>19050</xdr:rowOff>
    </xdr:from>
    <xdr:to>
      <xdr:col>13</xdr:col>
      <xdr:colOff>457200</xdr:colOff>
      <xdr:row>148</xdr:row>
      <xdr:rowOff>57150</xdr:rowOff>
    </xdr:to>
    <xdr:graphicFrame macro="">
      <xdr:nvGraphicFramePr>
        <xdr:cNvPr id="23" name="Diagramm 22"/>
        <xdr:cNvGraphicFramePr/>
      </xdr:nvGraphicFramePr>
      <xdr:xfrm>
        <a:off x="5676900" y="25184100"/>
        <a:ext cx="4248150" cy="2895600"/>
      </xdr:xfrm>
      <a:graphic>
        <a:graphicData uri="http://schemas.openxmlformats.org/drawingml/2006/chart">
          <c:chart xmlns:c="http://schemas.openxmlformats.org/drawingml/2006/chart" r:id="rId9"/>
        </a:graphicData>
      </a:graphic>
    </xdr:graphicFrame>
    <xdr:clientData/>
  </xdr:twoCellAnchor>
  <xdr:twoCellAnchor>
    <xdr:from>
      <xdr:col>20</xdr:col>
      <xdr:colOff>152400</xdr:colOff>
      <xdr:row>4</xdr:row>
      <xdr:rowOff>47625</xdr:rowOff>
    </xdr:from>
    <xdr:to>
      <xdr:col>25</xdr:col>
      <xdr:colOff>1609725</xdr:colOff>
      <xdr:row>20</xdr:row>
      <xdr:rowOff>38100</xdr:rowOff>
    </xdr:to>
    <xdr:graphicFrame macro="">
      <xdr:nvGraphicFramePr>
        <xdr:cNvPr id="24" name="Chart 2"/>
        <xdr:cNvGraphicFramePr/>
      </xdr:nvGraphicFramePr>
      <xdr:xfrm>
        <a:off x="14001750" y="809625"/>
        <a:ext cx="4505325" cy="3028950"/>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67</xdr:row>
      <xdr:rowOff>38100</xdr:rowOff>
    </xdr:from>
    <xdr:to>
      <xdr:col>4</xdr:col>
      <xdr:colOff>342900</xdr:colOff>
      <xdr:row>80</xdr:row>
      <xdr:rowOff>104775</xdr:rowOff>
    </xdr:to>
    <xdr:graphicFrame macro="">
      <xdr:nvGraphicFramePr>
        <xdr:cNvPr id="25" name="Chart 7"/>
        <xdr:cNvGraphicFramePr/>
      </xdr:nvGraphicFramePr>
      <xdr:xfrm>
        <a:off x="76200" y="12725400"/>
        <a:ext cx="4391025" cy="2543175"/>
      </xdr:xfrm>
      <a:graphic>
        <a:graphicData uri="http://schemas.openxmlformats.org/drawingml/2006/chart">
          <c:chart xmlns:c="http://schemas.openxmlformats.org/drawingml/2006/chart" r:id="rId11"/>
        </a:graphicData>
      </a:graphic>
    </xdr:graphicFrame>
    <xdr:clientData/>
  </xdr:twoCellAnchor>
  <xdr:twoCellAnchor>
    <xdr:from>
      <xdr:col>4</xdr:col>
      <xdr:colOff>485775</xdr:colOff>
      <xdr:row>67</xdr:row>
      <xdr:rowOff>57150</xdr:rowOff>
    </xdr:from>
    <xdr:to>
      <xdr:col>12</xdr:col>
      <xdr:colOff>152400</xdr:colOff>
      <xdr:row>80</xdr:row>
      <xdr:rowOff>123825</xdr:rowOff>
    </xdr:to>
    <xdr:graphicFrame macro="">
      <xdr:nvGraphicFramePr>
        <xdr:cNvPr id="26" name="Chart 7"/>
        <xdr:cNvGraphicFramePr/>
      </xdr:nvGraphicFramePr>
      <xdr:xfrm>
        <a:off x="4610100" y="12744450"/>
        <a:ext cx="4419600" cy="2543175"/>
      </xdr:xfrm>
      <a:graphic>
        <a:graphicData uri="http://schemas.openxmlformats.org/drawingml/2006/chart">
          <c:chart xmlns:c="http://schemas.openxmlformats.org/drawingml/2006/chart" r:id="rId12"/>
        </a:graphicData>
      </a:graphic>
    </xdr:graphicFrame>
    <xdr:clientData/>
  </xdr:twoCellAnchor>
  <xdr:twoCellAnchor>
    <xdr:from>
      <xdr:col>0</xdr:col>
      <xdr:colOff>314325</xdr:colOff>
      <xdr:row>175</xdr:row>
      <xdr:rowOff>28575</xdr:rowOff>
    </xdr:from>
    <xdr:to>
      <xdr:col>4</xdr:col>
      <xdr:colOff>447675</xdr:colOff>
      <xdr:row>186</xdr:row>
      <xdr:rowOff>28575</xdr:rowOff>
    </xdr:to>
    <xdr:graphicFrame macro="">
      <xdr:nvGraphicFramePr>
        <xdr:cNvPr id="28" name="Diagramm 27"/>
        <xdr:cNvGraphicFramePr/>
      </xdr:nvGraphicFramePr>
      <xdr:xfrm>
        <a:off x="314325" y="33156525"/>
        <a:ext cx="4257675" cy="208597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175</xdr:row>
      <xdr:rowOff>0</xdr:rowOff>
    </xdr:from>
    <xdr:to>
      <xdr:col>12</xdr:col>
      <xdr:colOff>76200</xdr:colOff>
      <xdr:row>185</xdr:row>
      <xdr:rowOff>161925</xdr:rowOff>
    </xdr:to>
    <xdr:graphicFrame macro="">
      <xdr:nvGraphicFramePr>
        <xdr:cNvPr id="29" name="Diagramm 28"/>
        <xdr:cNvGraphicFramePr/>
      </xdr:nvGraphicFramePr>
      <xdr:xfrm>
        <a:off x="4714875" y="33127950"/>
        <a:ext cx="4238625" cy="2047875"/>
      </xdr:xfrm>
      <a:graphic>
        <a:graphicData uri="http://schemas.openxmlformats.org/drawingml/2006/chart">
          <c:chart xmlns:c="http://schemas.openxmlformats.org/drawingml/2006/chart" r:id="rId14"/>
        </a:graphicData>
      </a:graphic>
    </xdr:graphicFrame>
    <xdr:clientData/>
  </xdr:twoCellAnchor>
  <xdr:twoCellAnchor>
    <xdr:from>
      <xdr:col>13</xdr:col>
      <xdr:colOff>0</xdr:colOff>
      <xdr:row>175</xdr:row>
      <xdr:rowOff>0</xdr:rowOff>
    </xdr:from>
    <xdr:to>
      <xdr:col>19</xdr:col>
      <xdr:colOff>657225</xdr:colOff>
      <xdr:row>185</xdr:row>
      <xdr:rowOff>152400</xdr:rowOff>
    </xdr:to>
    <xdr:graphicFrame macro="">
      <xdr:nvGraphicFramePr>
        <xdr:cNvPr id="30" name="Diagramm 29"/>
        <xdr:cNvGraphicFramePr/>
      </xdr:nvGraphicFramePr>
      <xdr:xfrm>
        <a:off x="9467850" y="33127950"/>
        <a:ext cx="4295775" cy="2047875"/>
      </xdr:xfrm>
      <a:graphic>
        <a:graphicData uri="http://schemas.openxmlformats.org/drawingml/2006/chart">
          <c:chart xmlns:c="http://schemas.openxmlformats.org/drawingml/2006/chart" r:id="rId15"/>
        </a:graphicData>
      </a:graphic>
    </xdr:graphicFrame>
    <xdr:clientData/>
  </xdr:twoCellAnchor>
  <xdr:twoCellAnchor>
    <xdr:from>
      <xdr:col>0</xdr:col>
      <xdr:colOff>266700</xdr:colOff>
      <xdr:row>186</xdr:row>
      <xdr:rowOff>95250</xdr:rowOff>
    </xdr:from>
    <xdr:to>
      <xdr:col>4</xdr:col>
      <xdr:colOff>390525</xdr:colOff>
      <xdr:row>197</xdr:row>
      <xdr:rowOff>104775</xdr:rowOff>
    </xdr:to>
    <xdr:graphicFrame macro="">
      <xdr:nvGraphicFramePr>
        <xdr:cNvPr id="31" name="Diagramm 30"/>
        <xdr:cNvGraphicFramePr/>
      </xdr:nvGraphicFramePr>
      <xdr:xfrm>
        <a:off x="266700" y="35299650"/>
        <a:ext cx="4248150" cy="208597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187</xdr:row>
      <xdr:rowOff>0</xdr:rowOff>
    </xdr:from>
    <xdr:to>
      <xdr:col>12</xdr:col>
      <xdr:colOff>76200</xdr:colOff>
      <xdr:row>197</xdr:row>
      <xdr:rowOff>152400</xdr:rowOff>
    </xdr:to>
    <xdr:graphicFrame macro="">
      <xdr:nvGraphicFramePr>
        <xdr:cNvPr id="32" name="Diagramm 31"/>
        <xdr:cNvGraphicFramePr/>
      </xdr:nvGraphicFramePr>
      <xdr:xfrm>
        <a:off x="4714875" y="35385375"/>
        <a:ext cx="4238625" cy="2047875"/>
      </xdr:xfrm>
      <a:graphic>
        <a:graphicData uri="http://schemas.openxmlformats.org/drawingml/2006/chart">
          <c:chart xmlns:c="http://schemas.openxmlformats.org/drawingml/2006/chart" r:id="rId17"/>
        </a:graphicData>
      </a:graphic>
    </xdr:graphicFrame>
    <xdr:clientData/>
  </xdr:twoCellAnchor>
  <xdr:twoCellAnchor>
    <xdr:from>
      <xdr:col>4</xdr:col>
      <xdr:colOff>257175</xdr:colOff>
      <xdr:row>38</xdr:row>
      <xdr:rowOff>95250</xdr:rowOff>
    </xdr:from>
    <xdr:to>
      <xdr:col>11</xdr:col>
      <xdr:colOff>228600</xdr:colOff>
      <xdr:row>52</xdr:row>
      <xdr:rowOff>114300</xdr:rowOff>
    </xdr:to>
    <xdr:graphicFrame macro="">
      <xdr:nvGraphicFramePr>
        <xdr:cNvPr id="34" name="Diagramm 33"/>
        <xdr:cNvGraphicFramePr/>
      </xdr:nvGraphicFramePr>
      <xdr:xfrm>
        <a:off x="4381500" y="7267575"/>
        <a:ext cx="4133850" cy="2686050"/>
      </xdr:xfrm>
      <a:graphic>
        <a:graphicData uri="http://schemas.openxmlformats.org/drawingml/2006/chart">
          <c:chart xmlns:c="http://schemas.openxmlformats.org/drawingml/2006/chart" r:id="rId18"/>
        </a:graphicData>
      </a:graphic>
    </xdr:graphicFrame>
    <xdr:clientData/>
  </xdr:twoCellAnchor>
  <xdr:twoCellAnchor>
    <xdr:from>
      <xdr:col>11</xdr:col>
      <xdr:colOff>409575</xdr:colOff>
      <xdr:row>38</xdr:row>
      <xdr:rowOff>123825</xdr:rowOff>
    </xdr:from>
    <xdr:to>
      <xdr:col>18</xdr:col>
      <xdr:colOff>581025</xdr:colOff>
      <xdr:row>53</xdr:row>
      <xdr:rowOff>0</xdr:rowOff>
    </xdr:to>
    <xdr:graphicFrame macro="">
      <xdr:nvGraphicFramePr>
        <xdr:cNvPr id="35" name="Diagramm 34"/>
        <xdr:cNvGraphicFramePr/>
      </xdr:nvGraphicFramePr>
      <xdr:xfrm>
        <a:off x="8696325" y="7296150"/>
        <a:ext cx="4324350" cy="2724150"/>
      </xdr:xfrm>
      <a:graphic>
        <a:graphicData uri="http://schemas.openxmlformats.org/drawingml/2006/chart">
          <c:chart xmlns:c="http://schemas.openxmlformats.org/drawingml/2006/chart" r:id="rId19"/>
        </a:graphicData>
      </a:graphic>
    </xdr:graphicFrame>
    <xdr:clientData/>
  </xdr:twoCellAnchor>
  <xdr:twoCellAnchor>
    <xdr:from>
      <xdr:col>12</xdr:col>
      <xdr:colOff>361950</xdr:colOff>
      <xdr:row>67</xdr:row>
      <xdr:rowOff>57150</xdr:rowOff>
    </xdr:from>
    <xdr:to>
      <xdr:col>19</xdr:col>
      <xdr:colOff>476250</xdr:colOff>
      <xdr:row>80</xdr:row>
      <xdr:rowOff>123825</xdr:rowOff>
    </xdr:to>
    <xdr:graphicFrame macro="">
      <xdr:nvGraphicFramePr>
        <xdr:cNvPr id="37" name="Chart 7"/>
        <xdr:cNvGraphicFramePr/>
      </xdr:nvGraphicFramePr>
      <xdr:xfrm>
        <a:off x="9239250" y="12734925"/>
        <a:ext cx="43434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164"/>
  <sheetViews>
    <sheetView tabSelected="1" zoomScalePageLayoutView="125" workbookViewId="0" topLeftCell="A1">
      <selection activeCell="H10" sqref="H10"/>
    </sheetView>
  </sheetViews>
  <sheetFormatPr defaultColWidth="9.7109375" defaultRowHeight="15"/>
  <cols>
    <col min="1" max="16384" width="9.7109375" style="49" customWidth="1"/>
  </cols>
  <sheetData>
    <row r="1" spans="3:8" ht="26.25">
      <c r="C1" s="73" t="s">
        <v>17</v>
      </c>
      <c r="D1" s="50"/>
      <c r="E1" s="50"/>
      <c r="F1" s="50"/>
      <c r="G1" s="50"/>
      <c r="H1" s="50"/>
    </row>
    <row r="2" spans="3:8" ht="18.75">
      <c r="C2" s="48" t="s">
        <v>20</v>
      </c>
      <c r="D2" s="50"/>
      <c r="E2" s="50"/>
      <c r="F2" s="50"/>
      <c r="G2" s="51"/>
      <c r="H2" s="50"/>
    </row>
    <row r="3" spans="3:8" ht="18.75">
      <c r="C3" s="48" t="s">
        <v>67</v>
      </c>
      <c r="D3" s="50"/>
      <c r="E3" s="50"/>
      <c r="F3" s="50"/>
      <c r="G3" s="50"/>
      <c r="H3" s="50"/>
    </row>
    <row r="4" spans="3:13" ht="18.75">
      <c r="C4" s="48" t="s">
        <v>18</v>
      </c>
      <c r="D4" s="50"/>
      <c r="E4" s="50"/>
      <c r="F4" s="50"/>
      <c r="G4" s="50"/>
      <c r="H4" s="50"/>
      <c r="K4" s="52"/>
      <c r="L4" s="52"/>
      <c r="M4" s="52"/>
    </row>
    <row r="5" spans="11:13" ht="14.25">
      <c r="K5" s="52"/>
      <c r="L5" s="52"/>
      <c r="M5" s="52"/>
    </row>
    <row r="6" spans="6:13" ht="15">
      <c r="F6" s="53"/>
      <c r="G6" s="54" t="s">
        <v>23</v>
      </c>
      <c r="H6" s="55"/>
      <c r="I6" s="56" t="s">
        <v>66</v>
      </c>
      <c r="K6" s="52"/>
      <c r="L6" s="52"/>
      <c r="M6" s="52"/>
    </row>
    <row r="7" spans="7:13" ht="15">
      <c r="G7" s="54" t="s">
        <v>19</v>
      </c>
      <c r="H7" s="55"/>
      <c r="I7" s="56" t="s">
        <v>81</v>
      </c>
      <c r="K7" s="52"/>
      <c r="L7" s="52"/>
      <c r="M7" s="52"/>
    </row>
    <row r="8" spans="7:13" ht="15">
      <c r="G8" s="54" t="s">
        <v>24</v>
      </c>
      <c r="H8" s="1081">
        <v>41899</v>
      </c>
      <c r="I8" s="1081"/>
      <c r="K8" s="52"/>
      <c r="L8" s="52"/>
      <c r="M8" s="52"/>
    </row>
    <row r="9" spans="5:9" ht="15">
      <c r="E9" s="53"/>
      <c r="G9" s="54" t="s">
        <v>15</v>
      </c>
      <c r="H9" s="1081">
        <v>42394</v>
      </c>
      <c r="I9" s="1081"/>
    </row>
    <row r="10" spans="7:9" ht="15">
      <c r="G10" s="54" t="s">
        <v>16</v>
      </c>
      <c r="H10" s="55"/>
      <c r="I10" s="56" t="s">
        <v>82</v>
      </c>
    </row>
    <row r="11" spans="1:3" ht="15">
      <c r="A11" s="57"/>
      <c r="C11" s="58"/>
    </row>
    <row r="12" spans="1:9" ht="18">
      <c r="A12" s="1083" t="s">
        <v>52</v>
      </c>
      <c r="B12" s="1083"/>
      <c r="C12" s="1083"/>
      <c r="D12" s="1083"/>
      <c r="E12" s="1083"/>
      <c r="F12" s="1083"/>
      <c r="G12" s="1083"/>
      <c r="H12" s="1083"/>
      <c r="I12" s="1083"/>
    </row>
    <row r="13" spans="1:3" ht="15">
      <c r="A13" s="57"/>
      <c r="C13" s="58"/>
    </row>
    <row r="14" ht="15">
      <c r="A14" s="59" t="s">
        <v>53</v>
      </c>
    </row>
    <row r="15" ht="15">
      <c r="A15" s="59" t="s">
        <v>54</v>
      </c>
    </row>
    <row r="16" ht="15">
      <c r="A16" s="59" t="s">
        <v>44</v>
      </c>
    </row>
    <row r="17" ht="15">
      <c r="A17" s="59" t="s">
        <v>45</v>
      </c>
    </row>
    <row r="18" ht="15">
      <c r="A18" s="59" t="s">
        <v>46</v>
      </c>
    </row>
    <row r="19" ht="15">
      <c r="A19" s="59" t="s">
        <v>47</v>
      </c>
    </row>
    <row r="20" ht="15">
      <c r="A20" s="49" t="s">
        <v>48</v>
      </c>
    </row>
    <row r="21" ht="15">
      <c r="A21" s="49" t="s">
        <v>49</v>
      </c>
    </row>
    <row r="23" ht="15">
      <c r="A23" s="57" t="s">
        <v>53</v>
      </c>
    </row>
    <row r="24" spans="1:10" ht="75" customHeight="1">
      <c r="A24" s="1074" t="s">
        <v>59</v>
      </c>
      <c r="B24" s="1074"/>
      <c r="C24" s="1074"/>
      <c r="D24" s="1074"/>
      <c r="E24" s="1074"/>
      <c r="F24" s="1074"/>
      <c r="G24" s="1074"/>
      <c r="H24" s="1074"/>
      <c r="I24" s="1074"/>
      <c r="J24" s="60"/>
    </row>
    <row r="25" spans="1:10" ht="15" customHeight="1">
      <c r="A25" s="61"/>
      <c r="B25" s="61"/>
      <c r="C25" s="61"/>
      <c r="D25" s="61"/>
      <c r="E25" s="61"/>
      <c r="F25" s="61"/>
      <c r="G25" s="61"/>
      <c r="H25" s="61"/>
      <c r="I25" s="61"/>
      <c r="J25" s="60"/>
    </row>
    <row r="26" ht="15">
      <c r="A26" s="57" t="s">
        <v>54</v>
      </c>
    </row>
    <row r="27" spans="1:9" ht="90" customHeight="1">
      <c r="A27" s="1074" t="s">
        <v>58</v>
      </c>
      <c r="B27" s="1074"/>
      <c r="C27" s="1074"/>
      <c r="D27" s="1074"/>
      <c r="E27" s="1074"/>
      <c r="F27" s="1074"/>
      <c r="G27" s="1074"/>
      <c r="H27" s="1074"/>
      <c r="I27" s="1074"/>
    </row>
    <row r="28" spans="1:9" ht="15" customHeight="1">
      <c r="A28" s="61"/>
      <c r="B28" s="61"/>
      <c r="C28" s="61"/>
      <c r="D28" s="61"/>
      <c r="E28" s="61"/>
      <c r="F28" s="61"/>
      <c r="G28" s="61"/>
      <c r="H28" s="61"/>
      <c r="I28" s="61"/>
    </row>
    <row r="29" ht="15">
      <c r="A29" s="57" t="s">
        <v>38</v>
      </c>
    </row>
    <row r="30" spans="1:9" ht="15">
      <c r="A30" s="1082"/>
      <c r="B30" s="1082"/>
      <c r="C30" s="1082"/>
      <c r="D30" s="1082"/>
      <c r="E30" s="1082"/>
      <c r="F30" s="1082"/>
      <c r="G30" s="1082"/>
      <c r="H30" s="1082"/>
      <c r="I30" s="1082"/>
    </row>
    <row r="31" ht="15">
      <c r="A31" s="57" t="s">
        <v>39</v>
      </c>
    </row>
    <row r="32" spans="1:9" ht="75" customHeight="1">
      <c r="A32" s="1074" t="s">
        <v>146</v>
      </c>
      <c r="B32" s="1074"/>
      <c r="C32" s="1074"/>
      <c r="D32" s="1074"/>
      <c r="E32" s="1074"/>
      <c r="F32" s="1074"/>
      <c r="G32" s="1074"/>
      <c r="H32" s="1074"/>
      <c r="I32" s="1074"/>
    </row>
    <row r="33" spans="1:9" ht="9.95" customHeight="1">
      <c r="A33" s="62"/>
      <c r="B33" s="62"/>
      <c r="C33" s="62"/>
      <c r="D33" s="62"/>
      <c r="E33" s="62"/>
      <c r="F33" s="62"/>
      <c r="G33" s="62"/>
      <c r="H33" s="62"/>
      <c r="I33" s="62"/>
    </row>
    <row r="34" ht="15">
      <c r="A34" s="63" t="s">
        <v>37</v>
      </c>
    </row>
    <row r="35" spans="1:9" ht="45" customHeight="1">
      <c r="A35" s="1071" t="s">
        <v>147</v>
      </c>
      <c r="B35" s="1071"/>
      <c r="C35" s="1071"/>
      <c r="D35" s="1071"/>
      <c r="E35" s="1071"/>
      <c r="F35" s="1071"/>
      <c r="G35" s="1071"/>
      <c r="H35" s="1071"/>
      <c r="I35" s="1071"/>
    </row>
    <row r="36" spans="1:9" ht="30" customHeight="1">
      <c r="A36" s="1071" t="s">
        <v>148</v>
      </c>
      <c r="B36" s="1071"/>
      <c r="C36" s="1071"/>
      <c r="D36" s="1071"/>
      <c r="E36" s="1071"/>
      <c r="F36" s="1071"/>
      <c r="G36" s="1071"/>
      <c r="H36" s="1071"/>
      <c r="I36" s="1071"/>
    </row>
    <row r="37" spans="1:9" ht="30" customHeight="1">
      <c r="A37" s="1078" t="s">
        <v>149</v>
      </c>
      <c r="B37" s="1078"/>
      <c r="C37" s="1078"/>
      <c r="D37" s="1078"/>
      <c r="E37" s="1078"/>
      <c r="F37" s="1078"/>
      <c r="G37" s="1078"/>
      <c r="H37" s="1078"/>
      <c r="I37" s="1078"/>
    </row>
    <row r="38" spans="1:9" ht="30" customHeight="1">
      <c r="A38" s="1071" t="s">
        <v>150</v>
      </c>
      <c r="B38" s="1071"/>
      <c r="C38" s="1071"/>
      <c r="D38" s="1071"/>
      <c r="E38" s="1071"/>
      <c r="F38" s="1071"/>
      <c r="G38" s="1071"/>
      <c r="H38" s="1071"/>
      <c r="I38" s="1071"/>
    </row>
    <row r="39" spans="1:9" ht="30" customHeight="1">
      <c r="A39" s="1080" t="s">
        <v>151</v>
      </c>
      <c r="B39" s="1080"/>
      <c r="C39" s="1080"/>
      <c r="D39" s="1080"/>
      <c r="E39" s="1080"/>
      <c r="F39" s="1080"/>
      <c r="G39" s="1080"/>
      <c r="H39" s="1080"/>
      <c r="I39" s="1080"/>
    </row>
    <row r="40" spans="1:9" ht="75" customHeight="1">
      <c r="A40" s="1077" t="s">
        <v>152</v>
      </c>
      <c r="B40" s="1077"/>
      <c r="C40" s="1077"/>
      <c r="D40" s="1077"/>
      <c r="E40" s="1077"/>
      <c r="F40" s="1077"/>
      <c r="G40" s="1077"/>
      <c r="H40" s="1077"/>
      <c r="I40" s="1077"/>
    </row>
    <row r="41" spans="1:9" ht="45" customHeight="1">
      <c r="A41" s="1079" t="s">
        <v>153</v>
      </c>
      <c r="B41" s="1078"/>
      <c r="C41" s="1078"/>
      <c r="D41" s="1078"/>
      <c r="E41" s="1078"/>
      <c r="F41" s="1078"/>
      <c r="G41" s="1078"/>
      <c r="H41" s="1078"/>
      <c r="I41" s="1078"/>
    </row>
    <row r="42" spans="1:9" ht="45" customHeight="1">
      <c r="A42" s="1076" t="s">
        <v>154</v>
      </c>
      <c r="B42" s="1077"/>
      <c r="C42" s="1077"/>
      <c r="D42" s="1077"/>
      <c r="E42" s="1077"/>
      <c r="F42" s="1077"/>
      <c r="G42" s="1077"/>
      <c r="H42" s="1077"/>
      <c r="I42" s="1077"/>
    </row>
    <row r="43" spans="1:9" ht="75" customHeight="1">
      <c r="A43" s="1076" t="s">
        <v>155</v>
      </c>
      <c r="B43" s="1077"/>
      <c r="C43" s="1077"/>
      <c r="D43" s="1077"/>
      <c r="E43" s="1077"/>
      <c r="F43" s="1077"/>
      <c r="G43" s="1077"/>
      <c r="H43" s="1077"/>
      <c r="I43" s="1077"/>
    </row>
    <row r="44" ht="9.95" customHeight="1">
      <c r="A44" s="57"/>
    </row>
    <row r="45" s="65" customFormat="1" ht="15">
      <c r="A45" s="64" t="s">
        <v>40</v>
      </c>
    </row>
    <row r="46" s="65" customFormat="1" ht="15">
      <c r="A46" s="66"/>
    </row>
    <row r="65" ht="15">
      <c r="A65" s="57" t="s">
        <v>50</v>
      </c>
    </row>
    <row r="88" ht="15">
      <c r="A88" s="57" t="s">
        <v>51</v>
      </c>
    </row>
    <row r="89" spans="1:9" ht="150" customHeight="1">
      <c r="A89" s="1074" t="s">
        <v>64</v>
      </c>
      <c r="B89" s="1074"/>
      <c r="C89" s="1074"/>
      <c r="D89" s="1074"/>
      <c r="E89" s="1074"/>
      <c r="F89" s="1074"/>
      <c r="G89" s="1074"/>
      <c r="H89" s="1074"/>
      <c r="I89" s="1074"/>
    </row>
    <row r="90" spans="11:18" ht="14.25">
      <c r="K90" s="67"/>
      <c r="L90" s="67"/>
      <c r="M90" s="67"/>
      <c r="N90" s="67"/>
      <c r="O90" s="67"/>
      <c r="P90" s="67"/>
      <c r="Q90" s="67"/>
      <c r="R90" s="67"/>
    </row>
    <row r="91" spans="11:18" ht="14.25">
      <c r="K91" s="67"/>
      <c r="L91" s="67"/>
      <c r="M91" s="67"/>
      <c r="N91" s="67"/>
      <c r="O91" s="67"/>
      <c r="P91" s="67"/>
      <c r="Q91" s="67"/>
      <c r="R91" s="67"/>
    </row>
    <row r="92" spans="11:18" ht="14.25">
      <c r="K92" s="67"/>
      <c r="L92" s="67"/>
      <c r="M92" s="67"/>
      <c r="N92" s="67"/>
      <c r="O92" s="67"/>
      <c r="P92" s="67"/>
      <c r="Q92" s="67"/>
      <c r="R92" s="67"/>
    </row>
    <row r="93" spans="11:18" ht="14.25">
      <c r="K93" s="67"/>
      <c r="L93" s="67"/>
      <c r="M93" s="67"/>
      <c r="N93" s="67"/>
      <c r="O93" s="67"/>
      <c r="P93" s="67"/>
      <c r="Q93" s="67"/>
      <c r="R93" s="67"/>
    </row>
    <row r="94" spans="11:18" ht="14.25">
      <c r="K94" s="67"/>
      <c r="L94" s="67"/>
      <c r="M94" s="67"/>
      <c r="N94" s="67"/>
      <c r="O94" s="67"/>
      <c r="P94" s="67"/>
      <c r="Q94" s="67"/>
      <c r="R94" s="67"/>
    </row>
    <row r="95" spans="11:18" ht="14.25">
      <c r="K95" s="67"/>
      <c r="L95" s="67"/>
      <c r="M95" s="67"/>
      <c r="N95" s="67"/>
      <c r="O95" s="67"/>
      <c r="P95" s="67"/>
      <c r="Q95" s="67"/>
      <c r="R95" s="67"/>
    </row>
    <row r="100" spans="11:18" ht="14.25">
      <c r="K100" s="67"/>
      <c r="L100" s="67"/>
      <c r="M100" s="67"/>
      <c r="N100" s="67"/>
      <c r="O100" s="67"/>
      <c r="P100" s="67"/>
      <c r="Q100" s="67"/>
      <c r="R100" s="67"/>
    </row>
    <row r="101" spans="11:18" ht="14.25">
      <c r="K101" s="67"/>
      <c r="L101" s="67"/>
      <c r="M101" s="67"/>
      <c r="N101" s="67"/>
      <c r="O101" s="67"/>
      <c r="P101" s="67"/>
      <c r="Q101" s="67"/>
      <c r="R101" s="67"/>
    </row>
    <row r="102" spans="11:18" ht="14.25">
      <c r="K102" s="67"/>
      <c r="L102" s="67"/>
      <c r="M102" s="67"/>
      <c r="N102" s="67"/>
      <c r="O102" s="67"/>
      <c r="P102" s="67"/>
      <c r="Q102" s="67"/>
      <c r="R102" s="67"/>
    </row>
    <row r="103" spans="11:18" ht="14.25">
      <c r="K103" s="67"/>
      <c r="L103" s="67"/>
      <c r="M103" s="67"/>
      <c r="N103" s="67"/>
      <c r="O103" s="67"/>
      <c r="P103" s="67"/>
      <c r="Q103" s="67"/>
      <c r="R103" s="67"/>
    </row>
    <row r="104" spans="11:18" ht="14.25">
      <c r="K104" s="67"/>
      <c r="L104" s="67"/>
      <c r="M104" s="67"/>
      <c r="N104" s="67"/>
      <c r="O104" s="67"/>
      <c r="P104" s="67"/>
      <c r="Q104" s="67"/>
      <c r="R104" s="67"/>
    </row>
    <row r="105" spans="11:18" ht="14.25">
      <c r="K105" s="67"/>
      <c r="L105" s="67"/>
      <c r="M105" s="67"/>
      <c r="N105" s="67"/>
      <c r="O105" s="67"/>
      <c r="P105" s="67"/>
      <c r="Q105" s="67"/>
      <c r="R105" s="67"/>
    </row>
    <row r="110" ht="14.25">
      <c r="A110" s="57" t="s">
        <v>41</v>
      </c>
    </row>
    <row r="111" ht="9.95" customHeight="1">
      <c r="A111" s="57"/>
    </row>
    <row r="112" spans="1:9" ht="15">
      <c r="A112" s="68" t="s">
        <v>32</v>
      </c>
      <c r="I112" s="69"/>
    </row>
    <row r="113" spans="1:9" ht="15">
      <c r="A113" s="63" t="s">
        <v>25</v>
      </c>
      <c r="I113" s="69"/>
    </row>
    <row r="114" spans="1:9" ht="9.95" customHeight="1">
      <c r="A114" s="63"/>
      <c r="I114" s="69"/>
    </row>
    <row r="115" spans="1:9" ht="9.95" customHeight="1">
      <c r="A115" s="63"/>
      <c r="I115" s="69"/>
    </row>
    <row r="116" spans="1:9" ht="15">
      <c r="A116" s="68" t="s">
        <v>33</v>
      </c>
      <c r="I116" s="69"/>
    </row>
    <row r="117" spans="1:9" ht="15">
      <c r="A117" s="63" t="s">
        <v>63</v>
      </c>
      <c r="I117" s="69"/>
    </row>
    <row r="118" spans="1:9" ht="15">
      <c r="A118" s="63" t="s">
        <v>68</v>
      </c>
      <c r="I118" s="69"/>
    </row>
    <row r="119" spans="1:9" ht="15">
      <c r="A119" s="63" t="s">
        <v>29</v>
      </c>
      <c r="I119" s="69"/>
    </row>
    <row r="120" spans="1:9" ht="15">
      <c r="A120" s="63" t="s">
        <v>30</v>
      </c>
      <c r="I120" s="69"/>
    </row>
    <row r="121" spans="1:9" ht="15">
      <c r="A121" s="63" t="s">
        <v>31</v>
      </c>
      <c r="I121" s="69"/>
    </row>
    <row r="122" spans="1:9" ht="9.95" customHeight="1">
      <c r="A122" s="63"/>
      <c r="I122" s="69"/>
    </row>
    <row r="123" spans="1:9" ht="9.95" customHeight="1">
      <c r="A123" s="63"/>
      <c r="I123" s="69"/>
    </row>
    <row r="124" spans="1:9" ht="15">
      <c r="A124" s="68" t="s">
        <v>55</v>
      </c>
      <c r="I124" s="69"/>
    </row>
    <row r="125" spans="1:9" ht="15">
      <c r="A125" s="63" t="s">
        <v>35</v>
      </c>
      <c r="I125" s="69"/>
    </row>
    <row r="126" spans="1:9" ht="15">
      <c r="A126" s="63" t="s">
        <v>36</v>
      </c>
      <c r="I126" s="69"/>
    </row>
    <row r="127" spans="1:9" ht="15">
      <c r="A127" s="63" t="s">
        <v>34</v>
      </c>
      <c r="I127" s="69"/>
    </row>
    <row r="128" spans="1:9" ht="15">
      <c r="A128" s="63" t="s">
        <v>28</v>
      </c>
      <c r="I128" s="69"/>
    </row>
    <row r="129" spans="1:9" ht="15">
      <c r="A129" s="63" t="s">
        <v>26</v>
      </c>
      <c r="I129" s="69"/>
    </row>
    <row r="130" spans="1:9" ht="15">
      <c r="A130" s="63" t="s">
        <v>27</v>
      </c>
      <c r="I130" s="69"/>
    </row>
    <row r="131" spans="1:9" ht="9.95" customHeight="1">
      <c r="A131" s="63"/>
      <c r="I131" s="69"/>
    </row>
    <row r="132" spans="1:9" ht="15">
      <c r="A132" s="68" t="s">
        <v>56</v>
      </c>
      <c r="I132" s="69"/>
    </row>
    <row r="133" spans="1:9" ht="15">
      <c r="A133" s="63" t="s">
        <v>57</v>
      </c>
      <c r="I133" s="69"/>
    </row>
    <row r="134" spans="1:9" ht="9.95" customHeight="1">
      <c r="A134" s="63"/>
      <c r="I134" s="69"/>
    </row>
    <row r="135" spans="1:9" ht="9.95" customHeight="1">
      <c r="A135" s="63"/>
      <c r="I135" s="69"/>
    </row>
    <row r="136" spans="1:9" ht="15">
      <c r="A136" s="68" t="s">
        <v>60</v>
      </c>
      <c r="I136" s="69"/>
    </row>
    <row r="137" spans="1:9" ht="30" customHeight="1">
      <c r="A137" s="1071" t="s">
        <v>61</v>
      </c>
      <c r="B137" s="1072"/>
      <c r="C137" s="1072"/>
      <c r="D137" s="1072"/>
      <c r="E137" s="1072"/>
      <c r="F137" s="1072"/>
      <c r="G137" s="1072"/>
      <c r="H137" s="1072"/>
      <c r="I137" s="69"/>
    </row>
    <row r="138" spans="1:9" ht="9.95" customHeight="1">
      <c r="A138" s="63"/>
      <c r="I138" s="69"/>
    </row>
    <row r="139" ht="15">
      <c r="A139" s="57" t="s">
        <v>42</v>
      </c>
    </row>
    <row r="140" ht="15">
      <c r="A140" s="63" t="s">
        <v>22</v>
      </c>
    </row>
    <row r="141" ht="15">
      <c r="A141" s="63" t="s">
        <v>21</v>
      </c>
    </row>
    <row r="143" ht="15">
      <c r="A143" s="57" t="s">
        <v>43</v>
      </c>
    </row>
    <row r="144" ht="9.95" customHeight="1"/>
    <row r="145" spans="1:9" ht="75" customHeight="1">
      <c r="A145" s="1075" t="s">
        <v>156</v>
      </c>
      <c r="B145" s="1075"/>
      <c r="C145" s="1075"/>
      <c r="D145" s="1075"/>
      <c r="E145" s="1075"/>
      <c r="F145" s="1075"/>
      <c r="G145" s="1075"/>
      <c r="H145" s="1075"/>
      <c r="I145" s="1075"/>
    </row>
    <row r="146" spans="1:9" ht="24.95" customHeight="1">
      <c r="A146" s="63"/>
      <c r="B146" s="63"/>
      <c r="C146" s="63"/>
      <c r="D146" s="63"/>
      <c r="E146" s="63"/>
      <c r="F146" s="63"/>
      <c r="G146" s="63"/>
      <c r="H146" s="63"/>
      <c r="I146" s="63"/>
    </row>
    <row r="147" spans="1:9" ht="30" customHeight="1">
      <c r="A147" s="1071" t="s">
        <v>157</v>
      </c>
      <c r="B147" s="1071"/>
      <c r="C147" s="1071"/>
      <c r="D147" s="1071"/>
      <c r="E147" s="1071"/>
      <c r="F147" s="1071"/>
      <c r="G147" s="1071"/>
      <c r="H147" s="1071"/>
      <c r="I147" s="1071"/>
    </row>
    <row r="148" spans="1:9" ht="9.95" customHeight="1">
      <c r="A148" s="70"/>
      <c r="B148" s="66"/>
      <c r="C148" s="66"/>
      <c r="D148" s="66"/>
      <c r="E148" s="71"/>
      <c r="F148" s="71"/>
      <c r="G148" s="71"/>
      <c r="H148" s="71"/>
      <c r="I148" s="71"/>
    </row>
    <row r="149" spans="1:9" s="72" customFormat="1" ht="30" customHeight="1">
      <c r="A149" s="1074" t="s">
        <v>158</v>
      </c>
      <c r="B149" s="1074"/>
      <c r="C149" s="1074"/>
      <c r="D149" s="1074"/>
      <c r="E149" s="1074"/>
      <c r="F149" s="1074"/>
      <c r="G149" s="1074"/>
      <c r="H149" s="1074"/>
      <c r="I149" s="1074"/>
    </row>
    <row r="150" spans="1:9" ht="30" customHeight="1">
      <c r="A150" s="63"/>
      <c r="B150" s="63"/>
      <c r="C150" s="63"/>
      <c r="D150" s="63"/>
      <c r="E150" s="63"/>
      <c r="F150" s="63"/>
      <c r="G150" s="63"/>
      <c r="H150" s="63"/>
      <c r="I150" s="63"/>
    </row>
    <row r="151" spans="1:9" ht="30" customHeight="1">
      <c r="A151" s="1071" t="s">
        <v>159</v>
      </c>
      <c r="B151" s="1071"/>
      <c r="C151" s="1071"/>
      <c r="D151" s="1071"/>
      <c r="E151" s="1071"/>
      <c r="F151" s="1071"/>
      <c r="G151" s="1071"/>
      <c r="H151" s="1071"/>
      <c r="I151" s="1071"/>
    </row>
    <row r="152" spans="1:9" ht="9.95" customHeight="1">
      <c r="A152" s="71"/>
      <c r="B152" s="71"/>
      <c r="C152" s="71"/>
      <c r="D152" s="71"/>
      <c r="E152" s="71"/>
      <c r="F152" s="71"/>
      <c r="G152" s="71"/>
      <c r="H152" s="71"/>
      <c r="I152" s="71"/>
    </row>
    <row r="153" spans="1:9" ht="45" customHeight="1">
      <c r="A153" s="1071" t="s">
        <v>160</v>
      </c>
      <c r="B153" s="1071"/>
      <c r="C153" s="1071"/>
      <c r="D153" s="1071"/>
      <c r="E153" s="1071"/>
      <c r="F153" s="1071"/>
      <c r="G153" s="1071"/>
      <c r="H153" s="1071"/>
      <c r="I153" s="1071"/>
    </row>
    <row r="154" spans="1:9" ht="30" customHeight="1">
      <c r="A154" s="63"/>
      <c r="B154" s="63"/>
      <c r="C154" s="63"/>
      <c r="D154" s="63"/>
      <c r="E154" s="63"/>
      <c r="F154" s="63"/>
      <c r="G154" s="63"/>
      <c r="H154" s="63"/>
      <c r="I154" s="63"/>
    </row>
    <row r="155" spans="1:9" ht="30" customHeight="1">
      <c r="A155" s="1071" t="s">
        <v>161</v>
      </c>
      <c r="B155" s="1071"/>
      <c r="C155" s="1071"/>
      <c r="D155" s="1071"/>
      <c r="E155" s="1071"/>
      <c r="F155" s="1071"/>
      <c r="G155" s="1071"/>
      <c r="H155" s="1071"/>
      <c r="I155" s="1071"/>
    </row>
    <row r="156" spans="1:9" ht="9.95" customHeight="1">
      <c r="A156" s="71"/>
      <c r="B156" s="71"/>
      <c r="C156" s="71"/>
      <c r="D156" s="71"/>
      <c r="E156" s="71"/>
      <c r="F156" s="71"/>
      <c r="G156" s="71"/>
      <c r="H156" s="71"/>
      <c r="I156" s="71"/>
    </row>
    <row r="157" spans="1:9" ht="60" customHeight="1">
      <c r="A157" s="1074" t="s">
        <v>162</v>
      </c>
      <c r="B157" s="1074"/>
      <c r="C157" s="1074"/>
      <c r="D157" s="1074"/>
      <c r="E157" s="1074"/>
      <c r="F157" s="1074"/>
      <c r="G157" s="1074"/>
      <c r="H157" s="1074"/>
      <c r="I157" s="1074"/>
    </row>
    <row r="158" spans="1:9" ht="30" customHeight="1">
      <c r="A158" s="63"/>
      <c r="B158" s="63"/>
      <c r="C158" s="63"/>
      <c r="D158" s="63"/>
      <c r="E158" s="63"/>
      <c r="F158" s="63"/>
      <c r="G158" s="63"/>
      <c r="H158" s="63"/>
      <c r="I158" s="63"/>
    </row>
    <row r="159" spans="1:9" ht="14.25">
      <c r="A159" s="1071" t="s">
        <v>163</v>
      </c>
      <c r="B159" s="1071"/>
      <c r="C159" s="1071"/>
      <c r="D159" s="1071"/>
      <c r="E159" s="1071"/>
      <c r="F159" s="1071"/>
      <c r="G159" s="1071"/>
      <c r="H159" s="1071"/>
      <c r="I159" s="1071"/>
    </row>
    <row r="160" spans="1:9" ht="9.95" customHeight="1">
      <c r="A160" s="71"/>
      <c r="B160" s="71"/>
      <c r="C160" s="71"/>
      <c r="D160" s="71"/>
      <c r="E160" s="71"/>
      <c r="F160" s="71"/>
      <c r="G160" s="71"/>
      <c r="H160" s="71"/>
      <c r="I160" s="71"/>
    </row>
    <row r="161" spans="1:9" ht="105" customHeight="1">
      <c r="A161" s="1074" t="s">
        <v>164</v>
      </c>
      <c r="B161" s="1074"/>
      <c r="C161" s="1074"/>
      <c r="D161" s="1074"/>
      <c r="E161" s="1074"/>
      <c r="F161" s="1074"/>
      <c r="G161" s="1074"/>
      <c r="H161" s="1074"/>
      <c r="I161" s="1074"/>
    </row>
    <row r="162" spans="1:9" ht="75" customHeight="1">
      <c r="A162" s="63"/>
      <c r="B162" s="63"/>
      <c r="C162" s="63"/>
      <c r="D162" s="63"/>
      <c r="E162" s="63"/>
      <c r="F162" s="63"/>
      <c r="G162" s="63"/>
      <c r="H162" s="63"/>
      <c r="I162" s="63"/>
    </row>
    <row r="163" spans="1:9" ht="30" customHeight="1">
      <c r="A163" s="1071" t="s">
        <v>165</v>
      </c>
      <c r="B163" s="1071"/>
      <c r="C163" s="1071"/>
      <c r="D163" s="1071"/>
      <c r="E163" s="1071"/>
      <c r="F163" s="1071"/>
      <c r="G163" s="1071"/>
      <c r="H163" s="1071"/>
      <c r="I163" s="1071"/>
    </row>
    <row r="164" spans="1:9" ht="15">
      <c r="A164" s="1073" t="s">
        <v>166</v>
      </c>
      <c r="B164" s="1073"/>
      <c r="C164" s="1073"/>
      <c r="D164" s="1073"/>
      <c r="E164" s="1073"/>
      <c r="F164" s="1073"/>
      <c r="G164" s="1073"/>
      <c r="H164" s="1073"/>
      <c r="I164" s="1073"/>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35"/>
  <sheetViews>
    <sheetView zoomScale="80" zoomScaleNormal="80" workbookViewId="0" topLeftCell="A1">
      <pane ySplit="8" topLeftCell="A9" activePane="bottomLeft" state="frozen"/>
      <selection pane="bottomLeft" activeCell="P183" sqref="P183"/>
    </sheetView>
  </sheetViews>
  <sheetFormatPr defaultColWidth="8.8515625" defaultRowHeight="15"/>
  <cols>
    <col min="1" max="1" width="48.28125" style="21" customWidth="1"/>
    <col min="2" max="2" width="10.7109375" style="20" customWidth="1"/>
    <col min="3" max="15" width="10.7109375" style="21" customWidth="1"/>
    <col min="16" max="16" width="36.7109375" style="21" customWidth="1"/>
    <col min="17" max="16384" width="8.8515625" style="21" customWidth="1"/>
  </cols>
  <sheetData>
    <row r="1" ht="18">
      <c r="A1" s="19" t="s">
        <v>280</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7"/>
      <c r="K4" s="917"/>
      <c r="L4" s="917"/>
      <c r="M4" s="917"/>
      <c r="N4" s="917"/>
      <c r="O4" s="917"/>
    </row>
    <row r="5" spans="5:15" ht="15">
      <c r="E5" s="22" t="s">
        <v>15</v>
      </c>
      <c r="F5" s="1114">
        <f>README!H9</f>
        <v>42394</v>
      </c>
      <c r="G5" s="1114"/>
      <c r="H5" s="568"/>
      <c r="I5" s="568"/>
      <c r="J5" s="917"/>
      <c r="K5" s="917"/>
      <c r="L5" s="917"/>
      <c r="M5" s="917"/>
      <c r="N5" s="917"/>
      <c r="O5" s="917"/>
    </row>
    <row r="6" spans="5:15" ht="15">
      <c r="E6" s="22" t="s">
        <v>16</v>
      </c>
      <c r="F6" s="23"/>
      <c r="G6" s="24" t="s">
        <v>82</v>
      </c>
      <c r="H6" s="24"/>
      <c r="I6" s="24"/>
      <c r="J6" s="24"/>
      <c r="K6" s="24"/>
      <c r="L6" s="24"/>
      <c r="M6" s="24"/>
      <c r="N6" s="24"/>
      <c r="O6" s="24"/>
    </row>
    <row r="8" spans="1:16"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6" ht="15" customHeight="1">
      <c r="A9" s="1150" t="s">
        <v>418</v>
      </c>
      <c r="B9" s="1151"/>
      <c r="C9" s="1151"/>
      <c r="D9" s="1151"/>
      <c r="E9" s="1151"/>
      <c r="F9" s="1151"/>
      <c r="G9" s="1151"/>
      <c r="H9" s="1151"/>
      <c r="I9" s="1151"/>
      <c r="J9" s="1151"/>
      <c r="K9" s="1151"/>
      <c r="L9" s="1151"/>
      <c r="M9" s="1151"/>
      <c r="N9" s="1151"/>
      <c r="O9" s="1151"/>
      <c r="P9" s="35"/>
    </row>
    <row r="10" spans="1:16" ht="12.75" customHeight="1">
      <c r="A10" s="1117" t="s">
        <v>481</v>
      </c>
      <c r="B10" s="1118"/>
      <c r="C10" s="1118"/>
      <c r="D10" s="1118"/>
      <c r="E10" s="1118"/>
      <c r="F10" s="1118"/>
      <c r="G10" s="1118"/>
      <c r="H10" s="1118"/>
      <c r="I10" s="1118"/>
      <c r="J10" s="1118"/>
      <c r="K10" s="1118"/>
      <c r="L10" s="1118"/>
      <c r="M10" s="1118"/>
      <c r="N10" s="1118"/>
      <c r="O10" s="1119"/>
      <c r="P10" s="1148" t="s">
        <v>416</v>
      </c>
    </row>
    <row r="11" spans="1:16" ht="15">
      <c r="A11" s="644" t="s">
        <v>178</v>
      </c>
      <c r="B11" s="31">
        <f>SUM(POP!L$63:L$67)</f>
        <v>7321</v>
      </c>
      <c r="C11" s="31">
        <f>SUM(POP!M$63:M$67)</f>
        <v>7611</v>
      </c>
      <c r="D11" s="31">
        <f>SUM(POP!N$63:N$67)</f>
        <v>7916</v>
      </c>
      <c r="E11" s="31">
        <f>SUM(POP!O$63:O$67)</f>
        <v>8234</v>
      </c>
      <c r="F11" s="31">
        <f>SUM(POP!P$63:P$67)</f>
        <v>8561</v>
      </c>
      <c r="G11" s="31">
        <f>SUM(POP!Q$63:Q$67)</f>
        <v>8897</v>
      </c>
      <c r="H11" s="31">
        <f>SUM(POP!R$63:R$67)</f>
        <v>9243</v>
      </c>
      <c r="I11" s="31">
        <f>SUM(POP!S$63:S$67)</f>
        <v>9591</v>
      </c>
      <c r="J11" s="31">
        <f>SUM(POP!T$63:T$67)</f>
        <v>9948</v>
      </c>
      <c r="K11" s="31">
        <f>SUM(POP!U$63:U$67)</f>
        <v>10312</v>
      </c>
      <c r="L11" s="31">
        <f>SUM(POP!V$63:V$67)</f>
        <v>10690</v>
      </c>
      <c r="M11" s="31">
        <f>SUM(POP!W$63:W$67)</f>
        <v>11083</v>
      </c>
      <c r="N11" s="28">
        <f>SUM(POP!X$63:X$67)</f>
        <v>11480</v>
      </c>
      <c r="O11" s="29">
        <f>SUM(POP!Y$63:Y$67)</f>
        <v>11883</v>
      </c>
      <c r="P11" s="1148"/>
    </row>
    <row r="12" spans="1:16" ht="15">
      <c r="A12" s="30" t="s">
        <v>179</v>
      </c>
      <c r="B12" s="263">
        <f>B11*ECO!L59</f>
        <v>1204.1550918367348</v>
      </c>
      <c r="C12" s="31">
        <f>C11*ECO!M59</f>
        <v>1241.369632653061</v>
      </c>
      <c r="D12" s="31">
        <f>D11*ECO!N59</f>
        <v>1280.2110612244894</v>
      </c>
      <c r="E12" s="31">
        <f>E11*ECO!O59</f>
        <v>1320.2966938775508</v>
      </c>
      <c r="F12" s="31">
        <f>F11*ECO!P59</f>
        <v>1360.936928571428</v>
      </c>
      <c r="G12" s="31">
        <f>G11*ECO!Q59</f>
        <v>1402.094571428571</v>
      </c>
      <c r="H12" s="31">
        <f>H11*ECO!R59</f>
        <v>1443.8886428571427</v>
      </c>
      <c r="I12" s="31">
        <f>I11*ECO!S59</f>
        <v>1485.0391224489792</v>
      </c>
      <c r="J12" s="31">
        <f>J11*ECO!T59</f>
        <v>1526.6119591836732</v>
      </c>
      <c r="K12" s="31">
        <f>K11*ECO!U59</f>
        <v>1568.2657959183673</v>
      </c>
      <c r="L12" s="31">
        <f>L11*ECO!V59</f>
        <v>1611.026632653061</v>
      </c>
      <c r="M12" s="31">
        <f>M11*ECO!W59</f>
        <v>1654.98593877551</v>
      </c>
      <c r="N12" s="31">
        <f>N11*ECO!X59</f>
        <v>1698.4542857142856</v>
      </c>
      <c r="O12" s="900">
        <f>O11*ECO!Y59</f>
        <v>1741.7082857142857</v>
      </c>
      <c r="P12" s="1148"/>
    </row>
    <row r="13" spans="1:15" s="35" customFormat="1" ht="15" customHeight="1">
      <c r="A13" s="32" t="s">
        <v>74</v>
      </c>
      <c r="B13" s="268">
        <v>0</v>
      </c>
      <c r="C13" s="269">
        <v>0</v>
      </c>
      <c r="D13" s="269">
        <v>1</v>
      </c>
      <c r="E13" s="269">
        <v>1</v>
      </c>
      <c r="F13" s="269">
        <v>1</v>
      </c>
      <c r="G13" s="269">
        <v>1</v>
      </c>
      <c r="H13" s="269">
        <v>1</v>
      </c>
      <c r="I13" s="269">
        <v>1</v>
      </c>
      <c r="J13" s="269">
        <v>1</v>
      </c>
      <c r="K13" s="269">
        <v>1</v>
      </c>
      <c r="L13" s="269">
        <v>1</v>
      </c>
      <c r="M13" s="269">
        <v>1</v>
      </c>
      <c r="N13" s="269">
        <v>1</v>
      </c>
      <c r="O13" s="906">
        <v>1</v>
      </c>
    </row>
    <row r="14" spans="1:15" s="35" customFormat="1" ht="15">
      <c r="A14" s="32" t="s">
        <v>70</v>
      </c>
      <c r="B14" s="263">
        <f>B12*B13</f>
        <v>0</v>
      </c>
      <c r="C14" s="31">
        <f aca="true" t="shared" si="0" ref="C14:O14">C12*C13</f>
        <v>0</v>
      </c>
      <c r="D14" s="31">
        <f t="shared" si="0"/>
        <v>1280.2110612244894</v>
      </c>
      <c r="E14" s="31">
        <f t="shared" si="0"/>
        <v>1320.2966938775508</v>
      </c>
      <c r="F14" s="31">
        <f t="shared" si="0"/>
        <v>1360.936928571428</v>
      </c>
      <c r="G14" s="31">
        <f t="shared" si="0"/>
        <v>1402.094571428571</v>
      </c>
      <c r="H14" s="31">
        <f t="shared" si="0"/>
        <v>1443.8886428571427</v>
      </c>
      <c r="I14" s="31">
        <f t="shared" si="0"/>
        <v>1485.0391224489792</v>
      </c>
      <c r="J14" s="31">
        <f t="shared" si="0"/>
        <v>1526.6119591836732</v>
      </c>
      <c r="K14" s="31">
        <f t="shared" si="0"/>
        <v>1568.2657959183673</v>
      </c>
      <c r="L14" s="31">
        <f t="shared" si="0"/>
        <v>1611.026632653061</v>
      </c>
      <c r="M14" s="31">
        <f t="shared" si="0"/>
        <v>1654.98593877551</v>
      </c>
      <c r="N14" s="31">
        <f t="shared" si="0"/>
        <v>1698.4542857142856</v>
      </c>
      <c r="O14" s="900">
        <f t="shared" si="0"/>
        <v>1741.7082857142857</v>
      </c>
    </row>
    <row r="15" spans="1:15" s="35" customFormat="1" ht="15">
      <c r="A15" s="37"/>
      <c r="B15" s="263"/>
      <c r="C15" s="31"/>
      <c r="D15" s="31"/>
      <c r="E15" s="31"/>
      <c r="F15" s="31"/>
      <c r="G15" s="31"/>
      <c r="H15" s="31"/>
      <c r="I15" s="31"/>
      <c r="J15" s="31"/>
      <c r="K15" s="31"/>
      <c r="L15" s="31"/>
      <c r="M15" s="31"/>
      <c r="N15" s="31"/>
      <c r="O15" s="900"/>
    </row>
    <row r="16" spans="1:15" s="35" customFormat="1" ht="15">
      <c r="A16" s="632" t="s">
        <v>425</v>
      </c>
      <c r="B16" s="33">
        <f>750*12</f>
        <v>9000</v>
      </c>
      <c r="C16" s="34">
        <f aca="true" t="shared" si="1" ref="C16:H16">750*12</f>
        <v>9000</v>
      </c>
      <c r="D16" s="34">
        <f t="shared" si="1"/>
        <v>9000</v>
      </c>
      <c r="E16" s="34">
        <f t="shared" si="1"/>
        <v>9000</v>
      </c>
      <c r="F16" s="34">
        <f t="shared" si="1"/>
        <v>9000</v>
      </c>
      <c r="G16" s="34">
        <f t="shared" si="1"/>
        <v>9000</v>
      </c>
      <c r="H16" s="34">
        <f t="shared" si="1"/>
        <v>9000</v>
      </c>
      <c r="I16" s="34">
        <f>(H16*(1+ECO!O10)*(1+ECO!P10)*(1+ECO!Q10)*(1+ECO!R10)*(1+ECO!S10))</f>
        <v>10586.060546135039</v>
      </c>
      <c r="J16" s="34">
        <f>I16</f>
        <v>10586.060546135039</v>
      </c>
      <c r="K16" s="34">
        <f aca="true" t="shared" si="2" ref="K16:O16">J16</f>
        <v>10586.060546135039</v>
      </c>
      <c r="L16" s="34">
        <f t="shared" si="2"/>
        <v>10586.060546135039</v>
      </c>
      <c r="M16" s="34">
        <f t="shared" si="2"/>
        <v>10586.060546135039</v>
      </c>
      <c r="N16" s="34">
        <f>(M16*(1+ECO!T10)*(1+ECO!U10)*(1+ECO!V10)*(1+ECO!W10)*(1+ECO!X10))</f>
        <v>12391.756190483193</v>
      </c>
      <c r="O16" s="819">
        <f t="shared" si="2"/>
        <v>12391.756190483193</v>
      </c>
    </row>
    <row r="17" spans="1:15" s="35" customFormat="1" ht="15">
      <c r="A17" s="632" t="s">
        <v>619</v>
      </c>
      <c r="B17" s="33">
        <f>500*12</f>
        <v>6000</v>
      </c>
      <c r="C17" s="34">
        <f aca="true" t="shared" si="3" ref="C17:O17">500*12</f>
        <v>6000</v>
      </c>
      <c r="D17" s="34">
        <f t="shared" si="3"/>
        <v>6000</v>
      </c>
      <c r="E17" s="34">
        <f t="shared" si="3"/>
        <v>6000</v>
      </c>
      <c r="F17" s="34">
        <f t="shared" si="3"/>
        <v>6000</v>
      </c>
      <c r="G17" s="34">
        <f t="shared" si="3"/>
        <v>6000</v>
      </c>
      <c r="H17" s="34">
        <f t="shared" si="3"/>
        <v>6000</v>
      </c>
      <c r="I17" s="34">
        <f t="shared" si="3"/>
        <v>6000</v>
      </c>
      <c r="J17" s="34">
        <f t="shared" si="3"/>
        <v>6000</v>
      </c>
      <c r="K17" s="34">
        <f t="shared" si="3"/>
        <v>6000</v>
      </c>
      <c r="L17" s="34">
        <f t="shared" si="3"/>
        <v>6000</v>
      </c>
      <c r="M17" s="34">
        <f t="shared" si="3"/>
        <v>6000</v>
      </c>
      <c r="N17" s="34">
        <f t="shared" si="3"/>
        <v>6000</v>
      </c>
      <c r="O17" s="819">
        <f t="shared" si="3"/>
        <v>6000</v>
      </c>
    </row>
    <row r="18" spans="1:15" s="35" customFormat="1" ht="15">
      <c r="A18" s="632" t="s">
        <v>620</v>
      </c>
      <c r="B18" s="33">
        <f>B16-B17</f>
        <v>3000</v>
      </c>
      <c r="C18" s="34">
        <f aca="true" t="shared" si="4" ref="C18:O18">C16-C17</f>
        <v>3000</v>
      </c>
      <c r="D18" s="34">
        <f t="shared" si="4"/>
        <v>3000</v>
      </c>
      <c r="E18" s="34">
        <f t="shared" si="4"/>
        <v>3000</v>
      </c>
      <c r="F18" s="34">
        <f t="shared" si="4"/>
        <v>3000</v>
      </c>
      <c r="G18" s="34">
        <f t="shared" si="4"/>
        <v>3000</v>
      </c>
      <c r="H18" s="34">
        <f t="shared" si="4"/>
        <v>3000</v>
      </c>
      <c r="I18" s="34">
        <f t="shared" si="4"/>
        <v>4586.060546135039</v>
      </c>
      <c r="J18" s="34">
        <f t="shared" si="4"/>
        <v>4586.060546135039</v>
      </c>
      <c r="K18" s="34">
        <f t="shared" si="4"/>
        <v>4586.060546135039</v>
      </c>
      <c r="L18" s="34">
        <f t="shared" si="4"/>
        <v>4586.060546135039</v>
      </c>
      <c r="M18" s="34">
        <f t="shared" si="4"/>
        <v>4586.060546135039</v>
      </c>
      <c r="N18" s="34">
        <f t="shared" si="4"/>
        <v>6391.756190483193</v>
      </c>
      <c r="O18" s="819">
        <f t="shared" si="4"/>
        <v>6391.756190483193</v>
      </c>
    </row>
    <row r="19" spans="1:15" s="35" customFormat="1" ht="15">
      <c r="A19" s="632"/>
      <c r="B19" s="33"/>
      <c r="C19" s="34"/>
      <c r="D19" s="34"/>
      <c r="E19" s="34"/>
      <c r="F19" s="34"/>
      <c r="G19" s="34"/>
      <c r="H19" s="34"/>
      <c r="I19" s="34"/>
      <c r="J19" s="34"/>
      <c r="K19" s="34"/>
      <c r="L19" s="34"/>
      <c r="M19" s="34"/>
      <c r="N19" s="34"/>
      <c r="O19" s="819"/>
    </row>
    <row r="20" spans="1:15" s="35" customFormat="1" ht="15">
      <c r="A20" s="987" t="s">
        <v>621</v>
      </c>
      <c r="B20" s="1043">
        <f>(B18*B14)/1000</f>
        <v>0</v>
      </c>
      <c r="C20" s="1043">
        <f aca="true" t="shared" si="5" ref="C20:O20">(C18*C14)/1000</f>
        <v>0</v>
      </c>
      <c r="D20" s="1043">
        <f t="shared" si="5"/>
        <v>3840.6331836734685</v>
      </c>
      <c r="E20" s="1043">
        <f t="shared" si="5"/>
        <v>3960.8900816326523</v>
      </c>
      <c r="F20" s="1043">
        <f t="shared" si="5"/>
        <v>4082.8107857142845</v>
      </c>
      <c r="G20" s="1043">
        <f t="shared" si="5"/>
        <v>4206.283714285712</v>
      </c>
      <c r="H20" s="1043">
        <f t="shared" si="5"/>
        <v>4331.665928571429</v>
      </c>
      <c r="I20" s="1043">
        <f t="shared" si="5"/>
        <v>6810.479328930264</v>
      </c>
      <c r="J20" s="1043">
        <f t="shared" si="5"/>
        <v>7001.134875270158</v>
      </c>
      <c r="K20" s="1043">
        <f t="shared" si="5"/>
        <v>7192.161892514288</v>
      </c>
      <c r="L20" s="1043">
        <f t="shared" si="5"/>
        <v>7388.265678782989</v>
      </c>
      <c r="M20" s="1043">
        <f t="shared" si="5"/>
        <v>7589.865718226625</v>
      </c>
      <c r="N20" s="1043">
        <f t="shared" si="5"/>
        <v>10856.105694966995</v>
      </c>
      <c r="O20" s="1045">
        <f t="shared" si="5"/>
        <v>11132.574717230154</v>
      </c>
    </row>
    <row r="21" spans="1:15" s="35" customFormat="1" ht="15">
      <c r="A21" s="632"/>
      <c r="B21" s="34"/>
      <c r="C21" s="34"/>
      <c r="D21" s="34"/>
      <c r="E21" s="34"/>
      <c r="F21" s="34"/>
      <c r="G21" s="34"/>
      <c r="H21" s="34"/>
      <c r="I21" s="34"/>
      <c r="J21" s="34"/>
      <c r="K21" s="34"/>
      <c r="L21" s="34"/>
      <c r="M21" s="34"/>
      <c r="N21" s="34"/>
      <c r="O21" s="819"/>
    </row>
    <row r="22" spans="1:15" s="35" customFormat="1" ht="15">
      <c r="A22" s="632" t="s">
        <v>86</v>
      </c>
      <c r="B22" s="34">
        <f>3%*B20</f>
        <v>0</v>
      </c>
      <c r="C22" s="34">
        <f aca="true" t="shared" si="6" ref="C22:O22">3%*C20</f>
        <v>0</v>
      </c>
      <c r="D22" s="34">
        <f t="shared" si="6"/>
        <v>115.21899551020405</v>
      </c>
      <c r="E22" s="34">
        <f t="shared" si="6"/>
        <v>118.82670244897956</v>
      </c>
      <c r="F22" s="34">
        <f t="shared" si="6"/>
        <v>122.48432357142853</v>
      </c>
      <c r="G22" s="34">
        <f t="shared" si="6"/>
        <v>126.18851142857137</v>
      </c>
      <c r="H22" s="34">
        <f t="shared" si="6"/>
        <v>129.94997785714284</v>
      </c>
      <c r="I22" s="34">
        <f t="shared" si="6"/>
        <v>204.31437986790792</v>
      </c>
      <c r="J22" s="34">
        <f t="shared" si="6"/>
        <v>210.03404625810472</v>
      </c>
      <c r="K22" s="34">
        <f t="shared" si="6"/>
        <v>215.76485677542865</v>
      </c>
      <c r="L22" s="34">
        <f t="shared" si="6"/>
        <v>221.64797036348966</v>
      </c>
      <c r="M22" s="34">
        <f t="shared" si="6"/>
        <v>227.69597154679875</v>
      </c>
      <c r="N22" s="34">
        <f t="shared" si="6"/>
        <v>325.68317084900985</v>
      </c>
      <c r="O22" s="819">
        <f t="shared" si="6"/>
        <v>333.9772415169046</v>
      </c>
    </row>
    <row r="23" spans="1:15" ht="15">
      <c r="A23" s="632"/>
      <c r="B23" s="34"/>
      <c r="C23" s="34"/>
      <c r="D23" s="34"/>
      <c r="E23" s="34"/>
      <c r="F23" s="34"/>
      <c r="G23" s="34"/>
      <c r="H23" s="34"/>
      <c r="I23" s="34"/>
      <c r="J23" s="34"/>
      <c r="K23" s="34"/>
      <c r="L23" s="34"/>
      <c r="M23" s="34"/>
      <c r="N23" s="34"/>
      <c r="O23" s="819"/>
    </row>
    <row r="24" spans="1:16" ht="15">
      <c r="A24" s="633" t="s">
        <v>84</v>
      </c>
      <c r="B24" s="45">
        <f>B20+B22</f>
        <v>0</v>
      </c>
      <c r="C24" s="45">
        <f aca="true" t="shared" si="7" ref="C24:O24">C20+C22</f>
        <v>0</v>
      </c>
      <c r="D24" s="45">
        <f t="shared" si="7"/>
        <v>3955.8521791836724</v>
      </c>
      <c r="E24" s="45">
        <f t="shared" si="7"/>
        <v>4079.716784081632</v>
      </c>
      <c r="F24" s="45">
        <f t="shared" si="7"/>
        <v>4205.295109285713</v>
      </c>
      <c r="G24" s="45">
        <f t="shared" si="7"/>
        <v>4332.472225714284</v>
      </c>
      <c r="H24" s="45">
        <f t="shared" si="7"/>
        <v>4461.615906428571</v>
      </c>
      <c r="I24" s="45">
        <f t="shared" si="7"/>
        <v>7014.793708798172</v>
      </c>
      <c r="J24" s="45">
        <f t="shared" si="7"/>
        <v>7211.168921528262</v>
      </c>
      <c r="K24" s="45">
        <f t="shared" si="7"/>
        <v>7407.926749289717</v>
      </c>
      <c r="L24" s="45">
        <f t="shared" si="7"/>
        <v>7609.913649146479</v>
      </c>
      <c r="M24" s="45">
        <f t="shared" si="7"/>
        <v>7817.5616897734235</v>
      </c>
      <c r="N24" s="45">
        <f t="shared" si="7"/>
        <v>11181.788865816005</v>
      </c>
      <c r="O24" s="874">
        <f t="shared" si="7"/>
        <v>11466.551958747059</v>
      </c>
      <c r="P24" s="883"/>
    </row>
    <row r="25" spans="1:15" ht="15">
      <c r="A25" s="633" t="s">
        <v>69</v>
      </c>
      <c r="B25" s="271">
        <f>B24/(ECO!L$66*1000)</f>
        <v>0</v>
      </c>
      <c r="C25" s="271">
        <f>C24/(ECO!M$66*1000)</f>
        <v>0</v>
      </c>
      <c r="D25" s="271">
        <f>D24/(ECO!N$66*1000)</f>
        <v>0.0002386938504943291</v>
      </c>
      <c r="E25" s="271">
        <f>E24/(ECO!O$66*1000)</f>
        <v>0.0002237416937852545</v>
      </c>
      <c r="F25" s="271">
        <f>F24/(ECO!P$66*1000)</f>
        <v>0.0002098145144976252</v>
      </c>
      <c r="G25" s="271">
        <f>G24/(ECO!Q$66*1000)</f>
        <v>0.0001968780340242089</v>
      </c>
      <c r="H25" s="271">
        <f>H24/(ECO!R$66*1000)</f>
        <v>0.00019127041108161984</v>
      </c>
      <c r="I25" s="271">
        <f>I24/(ECO!S$66*1000)</f>
        <v>0.00028370347148138795</v>
      </c>
      <c r="J25" s="271">
        <f>J24/(ECO!T$66*1000)</f>
        <v>0.0002751373499368907</v>
      </c>
      <c r="K25" s="271">
        <f>K24/(ECO!U$66*1000)</f>
        <v>0.0002666457678105696</v>
      </c>
      <c r="L25" s="271">
        <f>L24/(ECO!V$66*1000)</f>
        <v>0.00025841152508586075</v>
      </c>
      <c r="M25" s="271">
        <f>M24/(ECO!W$66*1000)</f>
        <v>0.0002504364864547354</v>
      </c>
      <c r="N25" s="271">
        <f>N24/(ECO!X$66*1000)</f>
        <v>0.0003379338588371115</v>
      </c>
      <c r="O25" s="968">
        <f>O24/(ECO!Y$66*1000)</f>
        <v>0.0003269244470896268</v>
      </c>
    </row>
    <row r="26" spans="1:15" ht="15">
      <c r="A26" s="634" t="s">
        <v>71</v>
      </c>
      <c r="B26" s="1011">
        <f>B24/('GGO (SQ)'!L$24*1000)</f>
        <v>0</v>
      </c>
      <c r="C26" s="1011">
        <f>C24/('GGO (SQ)'!M$24*1000)</f>
        <v>0</v>
      </c>
      <c r="D26" s="1011">
        <f>D24/('GGO (SQ)'!N$24*1000)</f>
        <v>0.0015218152970603099</v>
      </c>
      <c r="E26" s="1011">
        <f>E24/('GGO (SQ)'!O$24*1000)</f>
        <v>0.001426486402927558</v>
      </c>
      <c r="F26" s="1011">
        <f>F24/('GGO (SQ)'!P$24*1000)</f>
        <v>0.0013376923496206871</v>
      </c>
      <c r="G26" s="1011">
        <f>G24/('GGO (SQ)'!Q$24*1000)</f>
        <v>0.0012552145906260764</v>
      </c>
      <c r="H26" s="1011">
        <f>H24/('GGO (SQ)'!R$24*1000)</f>
        <v>0.0012194626583642892</v>
      </c>
      <c r="I26" s="1011">
        <f>I24/('GGO (SQ)'!S$24*1000)</f>
        <v>0.00180877840730022</v>
      </c>
      <c r="J26" s="1011">
        <f>J24/('GGO (SQ)'!T$24*1000)</f>
        <v>0.0017541642864257342</v>
      </c>
      <c r="K26" s="1011">
        <f>K24/('GGO (SQ)'!U$24*1000)</f>
        <v>0.0017000253986859922</v>
      </c>
      <c r="L26" s="1011">
        <f>L24/('GGO (SQ)'!V$24*1000)</f>
        <v>0.0016475272027240172</v>
      </c>
      <c r="M26" s="1011">
        <f>M24/('GGO (SQ)'!W$24*1000)</f>
        <v>0.0015966815870604421</v>
      </c>
      <c r="N26" s="1011">
        <f>N24/('GGO (SQ)'!X$24*1000)</f>
        <v>0.002154529388620146</v>
      </c>
      <c r="O26" s="1012">
        <f>O24/('GGO (SQ)'!Y$24*1000)</f>
        <v>0.0020843378391761204</v>
      </c>
    </row>
    <row r="27" spans="1:16" ht="15">
      <c r="A27" s="46"/>
      <c r="B27" s="609"/>
      <c r="C27" s="609"/>
      <c r="D27" s="609"/>
      <c r="E27" s="609"/>
      <c r="F27" s="609"/>
      <c r="G27" s="609"/>
      <c r="H27" s="609"/>
      <c r="I27" s="609"/>
      <c r="J27" s="609"/>
      <c r="K27" s="609"/>
      <c r="L27" s="609"/>
      <c r="M27" s="609"/>
      <c r="N27" s="609"/>
      <c r="O27" s="609"/>
      <c r="P27" s="31"/>
    </row>
    <row r="28" spans="1:16" ht="12.75" customHeight="1">
      <c r="A28" s="1117" t="s">
        <v>484</v>
      </c>
      <c r="B28" s="1118"/>
      <c r="C28" s="1118"/>
      <c r="D28" s="1118"/>
      <c r="E28" s="1118"/>
      <c r="F28" s="1118"/>
      <c r="G28" s="1118"/>
      <c r="H28" s="1118"/>
      <c r="I28" s="1118"/>
      <c r="J28" s="1118"/>
      <c r="K28" s="1118"/>
      <c r="L28" s="1118"/>
      <c r="M28" s="1118"/>
      <c r="N28" s="1118"/>
      <c r="O28" s="1119"/>
      <c r="P28" s="1148" t="s">
        <v>480</v>
      </c>
    </row>
    <row r="29" spans="1:16" ht="15">
      <c r="A29" s="406" t="s">
        <v>178</v>
      </c>
      <c r="B29" s="31">
        <f>SUM(POP!L$63:L$67)</f>
        <v>7321</v>
      </c>
      <c r="C29" s="31">
        <f>SUM(POP!M$63:M$67)</f>
        <v>7611</v>
      </c>
      <c r="D29" s="31">
        <f>SUM(POP!N$63:N$67)</f>
        <v>7916</v>
      </c>
      <c r="E29" s="31">
        <f>SUM(POP!O$63:O$67)</f>
        <v>8234</v>
      </c>
      <c r="F29" s="31">
        <f>SUM(POP!P$63:P$67)</f>
        <v>8561</v>
      </c>
      <c r="G29" s="31">
        <f>SUM(POP!Q$63:Q$67)</f>
        <v>8897</v>
      </c>
      <c r="H29" s="31">
        <f>SUM(POP!R$63:R$67)</f>
        <v>9243</v>
      </c>
      <c r="I29" s="28">
        <f>SUM(POP!S$63:S$67)</f>
        <v>9591</v>
      </c>
      <c r="J29" s="28">
        <f>SUM(POP!T$63:T$67)</f>
        <v>9948</v>
      </c>
      <c r="K29" s="28">
        <f>SUM(POP!U$63:U$67)</f>
        <v>10312</v>
      </c>
      <c r="L29" s="28">
        <f>SUM(POP!V$63:V$67)</f>
        <v>10690</v>
      </c>
      <c r="M29" s="28">
        <f>SUM(POP!W$63:W$67)</f>
        <v>11083</v>
      </c>
      <c r="N29" s="28">
        <f>SUM(POP!X$63:X$67)</f>
        <v>11480</v>
      </c>
      <c r="O29" s="29">
        <f>SUM(POP!Y$63:Y$67)</f>
        <v>11883</v>
      </c>
      <c r="P29" s="1148"/>
    </row>
    <row r="30" spans="1:16" ht="15">
      <c r="A30" s="644" t="s">
        <v>179</v>
      </c>
      <c r="B30" s="31">
        <f>B29*ECO!L59</f>
        <v>1204.1550918367348</v>
      </c>
      <c r="C30" s="31">
        <f>C29*ECO!M59</f>
        <v>1241.369632653061</v>
      </c>
      <c r="D30" s="31">
        <f>D29*ECO!N59</f>
        <v>1280.2110612244894</v>
      </c>
      <c r="E30" s="31">
        <f>E29*ECO!O59</f>
        <v>1320.2966938775508</v>
      </c>
      <c r="F30" s="31">
        <f>F29*ECO!P59</f>
        <v>1360.936928571428</v>
      </c>
      <c r="G30" s="31">
        <f>G29*ECO!Q59</f>
        <v>1402.094571428571</v>
      </c>
      <c r="H30" s="31">
        <f>H29*ECO!R59</f>
        <v>1443.8886428571427</v>
      </c>
      <c r="I30" s="31">
        <f>I29*ECO!S59</f>
        <v>1485.0391224489792</v>
      </c>
      <c r="J30" s="31">
        <f>J29*ECO!T59</f>
        <v>1526.6119591836732</v>
      </c>
      <c r="K30" s="31">
        <f>K29*ECO!U59</f>
        <v>1568.2657959183673</v>
      </c>
      <c r="L30" s="31">
        <f>L29*ECO!V59</f>
        <v>1611.026632653061</v>
      </c>
      <c r="M30" s="31">
        <f>M29*ECO!W59</f>
        <v>1654.98593877551</v>
      </c>
      <c r="N30" s="31">
        <f>N29*ECO!X59</f>
        <v>1698.4542857142856</v>
      </c>
      <c r="O30" s="900">
        <f>O29*ECO!Y59</f>
        <v>1741.7082857142857</v>
      </c>
      <c r="P30" s="1148"/>
    </row>
    <row r="31" spans="1:16" s="35" customFormat="1" ht="15">
      <c r="A31" s="632" t="s">
        <v>74</v>
      </c>
      <c r="B31" s="269">
        <v>0</v>
      </c>
      <c r="C31" s="269">
        <v>0</v>
      </c>
      <c r="D31" s="269">
        <v>1</v>
      </c>
      <c r="E31" s="269">
        <v>1</v>
      </c>
      <c r="F31" s="269">
        <v>1</v>
      </c>
      <c r="G31" s="269">
        <v>1</v>
      </c>
      <c r="H31" s="269">
        <v>1</v>
      </c>
      <c r="I31" s="269">
        <v>1</v>
      </c>
      <c r="J31" s="269">
        <v>1</v>
      </c>
      <c r="K31" s="269">
        <v>1</v>
      </c>
      <c r="L31" s="269">
        <v>1</v>
      </c>
      <c r="M31" s="269">
        <v>1</v>
      </c>
      <c r="N31" s="269">
        <v>1</v>
      </c>
      <c r="O31" s="906">
        <v>1</v>
      </c>
      <c r="P31" s="1148"/>
    </row>
    <row r="32" spans="1:15" s="35" customFormat="1" ht="15">
      <c r="A32" s="632" t="s">
        <v>70</v>
      </c>
      <c r="B32" s="31">
        <f>B30*B31</f>
        <v>0</v>
      </c>
      <c r="C32" s="31">
        <f aca="true" t="shared" si="8" ref="C32:O32">C30*C31</f>
        <v>0</v>
      </c>
      <c r="D32" s="31">
        <f t="shared" si="8"/>
        <v>1280.2110612244894</v>
      </c>
      <c r="E32" s="31">
        <f t="shared" si="8"/>
        <v>1320.2966938775508</v>
      </c>
      <c r="F32" s="31">
        <f t="shared" si="8"/>
        <v>1360.936928571428</v>
      </c>
      <c r="G32" s="31">
        <f t="shared" si="8"/>
        <v>1402.094571428571</v>
      </c>
      <c r="H32" s="31">
        <f t="shared" si="8"/>
        <v>1443.8886428571427</v>
      </c>
      <c r="I32" s="31">
        <f t="shared" si="8"/>
        <v>1485.0391224489792</v>
      </c>
      <c r="J32" s="31">
        <f t="shared" si="8"/>
        <v>1526.6119591836732</v>
      </c>
      <c r="K32" s="31">
        <f t="shared" si="8"/>
        <v>1568.2657959183673</v>
      </c>
      <c r="L32" s="31">
        <f t="shared" si="8"/>
        <v>1611.026632653061</v>
      </c>
      <c r="M32" s="31">
        <f t="shared" si="8"/>
        <v>1654.98593877551</v>
      </c>
      <c r="N32" s="31">
        <f t="shared" si="8"/>
        <v>1698.4542857142856</v>
      </c>
      <c r="O32" s="900">
        <f t="shared" si="8"/>
        <v>1741.7082857142857</v>
      </c>
    </row>
    <row r="33" spans="1:15" s="35" customFormat="1" ht="15">
      <c r="A33" s="1044"/>
      <c r="B33" s="995"/>
      <c r="C33" s="38"/>
      <c r="D33" s="38"/>
      <c r="E33" s="38"/>
      <c r="F33" s="38"/>
      <c r="G33" s="38"/>
      <c r="H33" s="38"/>
      <c r="I33" s="38"/>
      <c r="J33" s="38"/>
      <c r="K33" s="38"/>
      <c r="L33" s="38"/>
      <c r="M33" s="38"/>
      <c r="N33" s="38"/>
      <c r="O33" s="989"/>
    </row>
    <row r="34" spans="1:15" s="35" customFormat="1" ht="15">
      <c r="A34" s="632" t="s">
        <v>425</v>
      </c>
      <c r="B34" s="34">
        <f>1000*12</f>
        <v>12000</v>
      </c>
      <c r="C34" s="34">
        <f aca="true" t="shared" si="9" ref="C34:H34">B34</f>
        <v>12000</v>
      </c>
      <c r="D34" s="34">
        <f t="shared" si="9"/>
        <v>12000</v>
      </c>
      <c r="E34" s="34">
        <f t="shared" si="9"/>
        <v>12000</v>
      </c>
      <c r="F34" s="34">
        <f t="shared" si="9"/>
        <v>12000</v>
      </c>
      <c r="G34" s="34">
        <f t="shared" si="9"/>
        <v>12000</v>
      </c>
      <c r="H34" s="34">
        <f t="shared" si="9"/>
        <v>12000</v>
      </c>
      <c r="I34" s="34">
        <f>(H34*(1+ECO!O10)*(1+ECO!P10)*(1+ECO!Q10)*(1+ECO!R10)*(1+ECO!S10))</f>
        <v>14114.74739484672</v>
      </c>
      <c r="J34" s="34">
        <f>I34</f>
        <v>14114.74739484672</v>
      </c>
      <c r="K34" s="34">
        <f aca="true" t="shared" si="10" ref="K34:O34">J34</f>
        <v>14114.74739484672</v>
      </c>
      <c r="L34" s="34">
        <f t="shared" si="10"/>
        <v>14114.74739484672</v>
      </c>
      <c r="M34" s="34">
        <f t="shared" si="10"/>
        <v>14114.74739484672</v>
      </c>
      <c r="N34" s="34">
        <f>(M34*(1+ECO!T10)*(1+ECO!U10)*(1+ECO!V10)*(1+ECO!W10)*(1+ECO!X10))</f>
        <v>16522.341587310922</v>
      </c>
      <c r="O34" s="819">
        <f t="shared" si="10"/>
        <v>16522.341587310922</v>
      </c>
    </row>
    <row r="35" spans="1:15" s="35" customFormat="1" ht="15">
      <c r="A35" s="632" t="s">
        <v>619</v>
      </c>
      <c r="B35" s="34">
        <f>500*12</f>
        <v>6000</v>
      </c>
      <c r="C35" s="34">
        <f aca="true" t="shared" si="11" ref="C35:O35">500*12</f>
        <v>6000</v>
      </c>
      <c r="D35" s="34">
        <f t="shared" si="11"/>
        <v>6000</v>
      </c>
      <c r="E35" s="34">
        <f t="shared" si="11"/>
        <v>6000</v>
      </c>
      <c r="F35" s="34">
        <f t="shared" si="11"/>
        <v>6000</v>
      </c>
      <c r="G35" s="34">
        <f t="shared" si="11"/>
        <v>6000</v>
      </c>
      <c r="H35" s="34">
        <f t="shared" si="11"/>
        <v>6000</v>
      </c>
      <c r="I35" s="34">
        <f t="shared" si="11"/>
        <v>6000</v>
      </c>
      <c r="J35" s="34">
        <f t="shared" si="11"/>
        <v>6000</v>
      </c>
      <c r="K35" s="34">
        <f t="shared" si="11"/>
        <v>6000</v>
      </c>
      <c r="L35" s="34">
        <f t="shared" si="11"/>
        <v>6000</v>
      </c>
      <c r="M35" s="34">
        <f t="shared" si="11"/>
        <v>6000</v>
      </c>
      <c r="N35" s="34">
        <f t="shared" si="11"/>
        <v>6000</v>
      </c>
      <c r="O35" s="819">
        <f t="shared" si="11"/>
        <v>6000</v>
      </c>
    </row>
    <row r="36" spans="1:15" s="35" customFormat="1" ht="15">
      <c r="A36" s="632" t="s">
        <v>620</v>
      </c>
      <c r="B36" s="34">
        <f>B34-B35</f>
        <v>6000</v>
      </c>
      <c r="C36" s="34">
        <f aca="true" t="shared" si="12" ref="C36:O36">C34-C35</f>
        <v>6000</v>
      </c>
      <c r="D36" s="34">
        <f t="shared" si="12"/>
        <v>6000</v>
      </c>
      <c r="E36" s="34">
        <f t="shared" si="12"/>
        <v>6000</v>
      </c>
      <c r="F36" s="34">
        <f t="shared" si="12"/>
        <v>6000</v>
      </c>
      <c r="G36" s="34">
        <f t="shared" si="12"/>
        <v>6000</v>
      </c>
      <c r="H36" s="34">
        <f t="shared" si="12"/>
        <v>6000</v>
      </c>
      <c r="I36" s="34">
        <f t="shared" si="12"/>
        <v>8114.7473948467195</v>
      </c>
      <c r="J36" s="34">
        <f t="shared" si="12"/>
        <v>8114.7473948467195</v>
      </c>
      <c r="K36" s="34">
        <f t="shared" si="12"/>
        <v>8114.7473948467195</v>
      </c>
      <c r="L36" s="34">
        <f t="shared" si="12"/>
        <v>8114.7473948467195</v>
      </c>
      <c r="M36" s="34">
        <f t="shared" si="12"/>
        <v>8114.7473948467195</v>
      </c>
      <c r="N36" s="34">
        <f t="shared" si="12"/>
        <v>10522.341587310922</v>
      </c>
      <c r="O36" s="819">
        <f t="shared" si="12"/>
        <v>10522.341587310922</v>
      </c>
    </row>
    <row r="37" spans="1:15" s="35" customFormat="1" ht="15">
      <c r="A37" s="632"/>
      <c r="B37" s="34"/>
      <c r="C37" s="34"/>
      <c r="D37" s="34"/>
      <c r="E37" s="34"/>
      <c r="F37" s="34"/>
      <c r="G37" s="34"/>
      <c r="H37" s="34"/>
      <c r="I37" s="34"/>
      <c r="J37" s="34"/>
      <c r="K37" s="34"/>
      <c r="L37" s="34"/>
      <c r="M37" s="34"/>
      <c r="N37" s="34"/>
      <c r="O37" s="819"/>
    </row>
    <row r="38" spans="1:15" s="658" customFormat="1" ht="15">
      <c r="A38" s="987" t="s">
        <v>621</v>
      </c>
      <c r="B38" s="1043">
        <f>B36*B32/1000</f>
        <v>0</v>
      </c>
      <c r="C38" s="1043">
        <f aca="true" t="shared" si="13" ref="C38:O38">C36*C32/1000</f>
        <v>0</v>
      </c>
      <c r="D38" s="1043">
        <f t="shared" si="13"/>
        <v>7681.266367346937</v>
      </c>
      <c r="E38" s="1043">
        <f t="shared" si="13"/>
        <v>7921.7801632653045</v>
      </c>
      <c r="F38" s="1043">
        <f t="shared" si="13"/>
        <v>8165.621571428569</v>
      </c>
      <c r="G38" s="1043">
        <f t="shared" si="13"/>
        <v>8412.567428571425</v>
      </c>
      <c r="H38" s="1043">
        <f t="shared" si="13"/>
        <v>8663.331857142857</v>
      </c>
      <c r="I38" s="1043">
        <f t="shared" si="13"/>
        <v>12050.717350138311</v>
      </c>
      <c r="J38" s="1043">
        <f t="shared" si="13"/>
        <v>12388.070418727559</v>
      </c>
      <c r="K38" s="1043">
        <f t="shared" si="13"/>
        <v>12726.080781855788</v>
      </c>
      <c r="L38" s="1043">
        <f t="shared" si="13"/>
        <v>13073.074170350108</v>
      </c>
      <c r="M38" s="1043">
        <f t="shared" si="13"/>
        <v>13429.792835186523</v>
      </c>
      <c r="N38" s="1043">
        <f t="shared" si="13"/>
        <v>17871.716164717895</v>
      </c>
      <c r="O38" s="1045">
        <f t="shared" si="13"/>
        <v>18326.84952773544</v>
      </c>
    </row>
    <row r="39" spans="1:15" s="35" customFormat="1" ht="15">
      <c r="A39" s="632"/>
      <c r="B39" s="34"/>
      <c r="C39" s="34"/>
      <c r="D39" s="34"/>
      <c r="E39" s="34"/>
      <c r="F39" s="34"/>
      <c r="G39" s="34"/>
      <c r="H39" s="34"/>
      <c r="I39" s="34"/>
      <c r="J39" s="34"/>
      <c r="K39" s="34"/>
      <c r="L39" s="34"/>
      <c r="M39" s="34"/>
      <c r="N39" s="34"/>
      <c r="O39" s="819"/>
    </row>
    <row r="40" spans="1:15" s="35" customFormat="1" ht="15">
      <c r="A40" s="632" t="s">
        <v>86</v>
      </c>
      <c r="B40" s="34">
        <f>3%*B38</f>
        <v>0</v>
      </c>
      <c r="C40" s="34">
        <f aca="true" t="shared" si="14" ref="C40:O40">3%*C38</f>
        <v>0</v>
      </c>
      <c r="D40" s="34">
        <f t="shared" si="14"/>
        <v>230.4379910204081</v>
      </c>
      <c r="E40" s="34">
        <f t="shared" si="14"/>
        <v>237.65340489795912</v>
      </c>
      <c r="F40" s="34">
        <f t="shared" si="14"/>
        <v>244.96864714285707</v>
      </c>
      <c r="G40" s="34">
        <f t="shared" si="14"/>
        <v>252.37702285714275</v>
      </c>
      <c r="H40" s="34">
        <f t="shared" si="14"/>
        <v>259.8999557142857</v>
      </c>
      <c r="I40" s="34">
        <f t="shared" si="14"/>
        <v>361.52152050414935</v>
      </c>
      <c r="J40" s="34">
        <f t="shared" si="14"/>
        <v>371.64211256182676</v>
      </c>
      <c r="K40" s="34">
        <f t="shared" si="14"/>
        <v>381.7824234556736</v>
      </c>
      <c r="L40" s="34">
        <f t="shared" si="14"/>
        <v>392.1922251105032</v>
      </c>
      <c r="M40" s="34">
        <f t="shared" si="14"/>
        <v>402.8937850555957</v>
      </c>
      <c r="N40" s="34">
        <f t="shared" si="14"/>
        <v>536.1514849415369</v>
      </c>
      <c r="O40" s="819">
        <f t="shared" si="14"/>
        <v>549.8054858320633</v>
      </c>
    </row>
    <row r="41" spans="1:15" ht="15">
      <c r="A41" s="632"/>
      <c r="B41" s="34"/>
      <c r="C41" s="34"/>
      <c r="D41" s="34"/>
      <c r="E41" s="34"/>
      <c r="F41" s="34"/>
      <c r="G41" s="34"/>
      <c r="H41" s="34"/>
      <c r="I41" s="34"/>
      <c r="J41" s="34"/>
      <c r="K41" s="34"/>
      <c r="L41" s="34"/>
      <c r="M41" s="34"/>
      <c r="N41" s="34"/>
      <c r="O41" s="819"/>
    </row>
    <row r="42" spans="1:15" ht="15">
      <c r="A42" s="633" t="s">
        <v>87</v>
      </c>
      <c r="B42" s="45">
        <f>B40+B38</f>
        <v>0</v>
      </c>
      <c r="C42" s="45">
        <f aca="true" t="shared" si="15" ref="C42:O42">C40+C38</f>
        <v>0</v>
      </c>
      <c r="D42" s="45">
        <f t="shared" si="15"/>
        <v>7911.704358367345</v>
      </c>
      <c r="E42" s="45">
        <f t="shared" si="15"/>
        <v>8159.433568163264</v>
      </c>
      <c r="F42" s="45">
        <f t="shared" si="15"/>
        <v>8410.590218571426</v>
      </c>
      <c r="G42" s="45">
        <f t="shared" si="15"/>
        <v>8664.944451428568</v>
      </c>
      <c r="H42" s="45">
        <f t="shared" si="15"/>
        <v>8923.231812857142</v>
      </c>
      <c r="I42" s="45">
        <f t="shared" si="15"/>
        <v>12412.23887064246</v>
      </c>
      <c r="J42" s="45">
        <f t="shared" si="15"/>
        <v>12759.712531289386</v>
      </c>
      <c r="K42" s="45">
        <f t="shared" si="15"/>
        <v>13107.863205311462</v>
      </c>
      <c r="L42" s="45">
        <f t="shared" si="15"/>
        <v>13465.26639546061</v>
      </c>
      <c r="M42" s="45">
        <f t="shared" si="15"/>
        <v>13832.686620242119</v>
      </c>
      <c r="N42" s="45">
        <f t="shared" si="15"/>
        <v>18407.86764965943</v>
      </c>
      <c r="O42" s="874">
        <f t="shared" si="15"/>
        <v>18876.655013567506</v>
      </c>
    </row>
    <row r="43" spans="1:15" ht="15">
      <c r="A43" s="633" t="s">
        <v>69</v>
      </c>
      <c r="B43" s="271">
        <f>B42/(ECO!L$66*1000)</f>
        <v>0</v>
      </c>
      <c r="C43" s="271">
        <f>C42/(ECO!M$66*1000)</f>
        <v>0</v>
      </c>
      <c r="D43" s="271">
        <f>D42/(ECO!N$66*1000)</f>
        <v>0.0004773877009886582</v>
      </c>
      <c r="E43" s="271">
        <f>E42/(ECO!O$66*1000)</f>
        <v>0.000447483387570509</v>
      </c>
      <c r="F43" s="271">
        <f>F42/(ECO!P$66*1000)</f>
        <v>0.0004196290289952504</v>
      </c>
      <c r="G43" s="271">
        <f>G42/(ECO!Q$66*1000)</f>
        <v>0.0003937560680484178</v>
      </c>
      <c r="H43" s="271">
        <f>H42/(ECO!R$66*1000)</f>
        <v>0.0003825408221632397</v>
      </c>
      <c r="I43" s="271">
        <f>I42/(ECO!S$66*1000)</f>
        <v>0.0005019955543440779</v>
      </c>
      <c r="J43" s="271">
        <f>J42/(ECO!T$66*1000)</f>
        <v>0.00048683833786429743</v>
      </c>
      <c r="K43" s="271">
        <f>K42/(ECO!U$66*1000)</f>
        <v>0.0004718130142244333</v>
      </c>
      <c r="L43" s="271">
        <f>L42/(ECO!V$66*1000)</f>
        <v>0.00045724303656568215</v>
      </c>
      <c r="M43" s="271">
        <f>M42/(ECO!W$66*1000)</f>
        <v>0.0004431317043438986</v>
      </c>
      <c r="N43" s="271">
        <f>N42/(ECO!X$66*1000)</f>
        <v>0.0005563190132152689</v>
      </c>
      <c r="O43" s="968">
        <f>O42/(ECO!Y$66*1000)</f>
        <v>0.0005381949190492759</v>
      </c>
    </row>
    <row r="44" spans="1:15" ht="15">
      <c r="A44" s="634" t="s">
        <v>71</v>
      </c>
      <c r="B44" s="1011">
        <f>B42/('GGO (SQ)'!L$24*1000)</f>
        <v>0</v>
      </c>
      <c r="C44" s="1011">
        <f>C42/('GGO (SQ)'!M$24*1000)</f>
        <v>0</v>
      </c>
      <c r="D44" s="1011">
        <f>D42/('GGO (SQ)'!N$24*1000)</f>
        <v>0.0030436305941206197</v>
      </c>
      <c r="E44" s="1011">
        <f>E42/('GGO (SQ)'!O$24*1000)</f>
        <v>0.002852972805855116</v>
      </c>
      <c r="F44" s="1011">
        <f>F42/('GGO (SQ)'!P$24*1000)</f>
        <v>0.0026753846992413743</v>
      </c>
      <c r="G44" s="1011">
        <f>G42/('GGO (SQ)'!Q$24*1000)</f>
        <v>0.002510429181252153</v>
      </c>
      <c r="H44" s="1011">
        <f>H42/('GGO (SQ)'!R$24*1000)</f>
        <v>0.0024389253167285785</v>
      </c>
      <c r="I44" s="1011">
        <f>I42/('GGO (SQ)'!S$24*1000)</f>
        <v>0.003200520298595784</v>
      </c>
      <c r="J44" s="1011">
        <f>J42/('GGO (SQ)'!T$24*1000)</f>
        <v>0.0031038840264337054</v>
      </c>
      <c r="K44" s="1011">
        <f>K42/('GGO (SQ)'!U$24*1000)</f>
        <v>0.0030080886495898003</v>
      </c>
      <c r="L44" s="1011">
        <f>L42/('GGO (SQ)'!V$24*1000)</f>
        <v>0.002915196374263079</v>
      </c>
      <c r="M44" s="1011">
        <f>M42/('GGO (SQ)'!W$24*1000)</f>
        <v>0.0028252282364474774</v>
      </c>
      <c r="N44" s="1011">
        <f>N42/('GGO (SQ)'!X$24*1000)</f>
        <v>0.003546864666195523</v>
      </c>
      <c r="O44" s="1012">
        <f>O42/('GGO (SQ)'!Y$24*1000)</f>
        <v>0.003431312783773546</v>
      </c>
    </row>
    <row r="46" spans="1:16" ht="15">
      <c r="A46" s="1152" t="s">
        <v>627</v>
      </c>
      <c r="B46" s="1153"/>
      <c r="C46" s="1153"/>
      <c r="D46" s="1153"/>
      <c r="E46" s="1153"/>
      <c r="F46" s="1153"/>
      <c r="G46" s="1153"/>
      <c r="H46" s="1153"/>
      <c r="I46" s="1153"/>
      <c r="J46" s="1153"/>
      <c r="K46" s="1153"/>
      <c r="L46" s="1153"/>
      <c r="M46" s="1153"/>
      <c r="N46" s="1153"/>
      <c r="O46" s="1154"/>
      <c r="P46" s="31"/>
    </row>
    <row r="47" spans="1:15" ht="15">
      <c r="A47" s="1155" t="s">
        <v>626</v>
      </c>
      <c r="B47" s="1156"/>
      <c r="C47" s="1156"/>
      <c r="D47" s="1156"/>
      <c r="E47" s="1156"/>
      <c r="F47" s="1156"/>
      <c r="G47" s="1156"/>
      <c r="H47" s="1156"/>
      <c r="I47" s="1156"/>
      <c r="J47" s="1156"/>
      <c r="K47" s="1156"/>
      <c r="L47" s="1156"/>
      <c r="M47" s="1156"/>
      <c r="N47" s="1156"/>
      <c r="O47" s="1157"/>
    </row>
    <row r="48" spans="1:16" ht="15">
      <c r="A48" s="1046" t="s">
        <v>622</v>
      </c>
      <c r="B48" s="31"/>
      <c r="C48" s="31"/>
      <c r="D48" s="31"/>
      <c r="E48" s="31"/>
      <c r="F48" s="31"/>
      <c r="G48" s="31"/>
      <c r="H48" s="31"/>
      <c r="I48" s="28"/>
      <c r="J48" s="31"/>
      <c r="K48" s="31"/>
      <c r="L48" s="31"/>
      <c r="M48" s="31"/>
      <c r="N48" s="31"/>
      <c r="O48" s="900"/>
      <c r="P48" s="31"/>
    </row>
    <row r="49" spans="1:16" ht="15">
      <c r="A49" s="644" t="s">
        <v>333</v>
      </c>
      <c r="B49" s="263">
        <f>SUM(POP!L63:L66)</f>
        <v>6725</v>
      </c>
      <c r="C49" s="31">
        <f>SUM(POP!M63:M66)</f>
        <v>6968</v>
      </c>
      <c r="D49" s="31">
        <f>SUM(POP!N63:N66)</f>
        <v>7233</v>
      </c>
      <c r="E49" s="31">
        <f>SUM(POP!O63:O66)</f>
        <v>7521</v>
      </c>
      <c r="F49" s="31">
        <f>SUM(POP!P63:P66)</f>
        <v>7835</v>
      </c>
      <c r="G49" s="31">
        <f>SUM(POP!Q63:Q66)</f>
        <v>8172</v>
      </c>
      <c r="H49" s="31">
        <f>SUM(POP!R63:R66)</f>
        <v>8483</v>
      </c>
      <c r="I49" s="31">
        <f>SUM(POP!S63:S66)</f>
        <v>8808</v>
      </c>
      <c r="J49" s="31">
        <f>SUM(POP!T63:T66)</f>
        <v>9151</v>
      </c>
      <c r="K49" s="31">
        <f>SUM(POP!U63:U66)</f>
        <v>9507</v>
      </c>
      <c r="L49" s="31">
        <f>SUM(POP!V63:V66)</f>
        <v>9880</v>
      </c>
      <c r="M49" s="31">
        <f>SUM(POP!W63:W66)</f>
        <v>10212</v>
      </c>
      <c r="N49" s="31">
        <f>SUM(POP!X63:X66)</f>
        <v>10556</v>
      </c>
      <c r="O49" s="900">
        <f>SUM(POP!Y63:Y66)</f>
        <v>10913</v>
      </c>
      <c r="P49" s="99"/>
    </row>
    <row r="50" spans="1:15" ht="15">
      <c r="A50" s="644" t="s">
        <v>334</v>
      </c>
      <c r="B50" s="263">
        <f>B49*ECO!L59</f>
        <v>1106.1252551020407</v>
      </c>
      <c r="C50" s="31">
        <f>C49*ECO!M59</f>
        <v>1136.495020408163</v>
      </c>
      <c r="D50" s="31">
        <f>D49*ECO!N59</f>
        <v>1169.7532346938772</v>
      </c>
      <c r="E50" s="31">
        <f>E49*ECO!O59</f>
        <v>1205.969326530612</v>
      </c>
      <c r="F50" s="31">
        <f>F49*ECO!P59</f>
        <v>1245.525153061224</v>
      </c>
      <c r="G50" s="31">
        <f>G49*ECO!Q59</f>
        <v>1287.840489795918</v>
      </c>
      <c r="H50" s="31">
        <f>H49*ECO!R59</f>
        <v>1325.1657857142854</v>
      </c>
      <c r="I50" s="31">
        <f>I49*ECO!S59</f>
        <v>1363.8019591836733</v>
      </c>
      <c r="J50" s="31">
        <f>J49*ECO!T59</f>
        <v>1404.3049897959181</v>
      </c>
      <c r="K50" s="31">
        <f>K49*ECO!U59</f>
        <v>1445.840081632653</v>
      </c>
      <c r="L50" s="31">
        <f>L49*ECO!V59</f>
        <v>1488.956326530612</v>
      </c>
      <c r="M50" s="31">
        <f>M49*ECO!W59</f>
        <v>1524.9225306122446</v>
      </c>
      <c r="N50" s="31">
        <f>N49*ECO!X59</f>
        <v>1561.7494285714286</v>
      </c>
      <c r="O50" s="900">
        <f>O49*ECO!Y59</f>
        <v>1599.534</v>
      </c>
    </row>
    <row r="51" spans="1:15" ht="15">
      <c r="A51" s="632" t="s">
        <v>74</v>
      </c>
      <c r="B51" s="269">
        <v>0</v>
      </c>
      <c r="C51" s="269">
        <v>0</v>
      </c>
      <c r="D51" s="269">
        <v>1</v>
      </c>
      <c r="E51" s="269">
        <v>1</v>
      </c>
      <c r="F51" s="269">
        <v>1</v>
      </c>
      <c r="G51" s="269">
        <v>1</v>
      </c>
      <c r="H51" s="269">
        <v>1</v>
      </c>
      <c r="I51" s="269">
        <v>1</v>
      </c>
      <c r="J51" s="269">
        <v>1</v>
      </c>
      <c r="K51" s="269">
        <v>1</v>
      </c>
      <c r="L51" s="269">
        <v>1</v>
      </c>
      <c r="M51" s="269">
        <v>1</v>
      </c>
      <c r="N51" s="269">
        <v>1</v>
      </c>
      <c r="O51" s="906">
        <v>1</v>
      </c>
    </row>
    <row r="52" spans="1:15" s="35" customFormat="1" ht="15">
      <c r="A52" s="632" t="s">
        <v>70</v>
      </c>
      <c r="B52" s="263">
        <f>B50*B51</f>
        <v>0</v>
      </c>
      <c r="C52" s="31">
        <f aca="true" t="shared" si="16" ref="C52:O52">C50*C51</f>
        <v>0</v>
      </c>
      <c r="D52" s="31">
        <f t="shared" si="16"/>
        <v>1169.7532346938772</v>
      </c>
      <c r="E52" s="31">
        <f t="shared" si="16"/>
        <v>1205.969326530612</v>
      </c>
      <c r="F52" s="31">
        <f t="shared" si="16"/>
        <v>1245.525153061224</v>
      </c>
      <c r="G52" s="31">
        <f t="shared" si="16"/>
        <v>1287.840489795918</v>
      </c>
      <c r="H52" s="31">
        <f t="shared" si="16"/>
        <v>1325.1657857142854</v>
      </c>
      <c r="I52" s="31">
        <f t="shared" si="16"/>
        <v>1363.8019591836733</v>
      </c>
      <c r="J52" s="31">
        <f t="shared" si="16"/>
        <v>1404.3049897959181</v>
      </c>
      <c r="K52" s="31">
        <f t="shared" si="16"/>
        <v>1445.840081632653</v>
      </c>
      <c r="L52" s="31">
        <f t="shared" si="16"/>
        <v>1488.956326530612</v>
      </c>
      <c r="M52" s="31">
        <f t="shared" si="16"/>
        <v>1524.9225306122446</v>
      </c>
      <c r="N52" s="31">
        <f t="shared" si="16"/>
        <v>1561.7494285714286</v>
      </c>
      <c r="O52" s="900">
        <f t="shared" si="16"/>
        <v>1599.534</v>
      </c>
    </row>
    <row r="53" spans="1:15" ht="15">
      <c r="A53" s="632"/>
      <c r="B53" s="269"/>
      <c r="C53" s="269"/>
      <c r="D53" s="269"/>
      <c r="E53" s="269"/>
      <c r="F53" s="269"/>
      <c r="G53" s="269"/>
      <c r="H53" s="269"/>
      <c r="I53" s="269"/>
      <c r="J53" s="269"/>
      <c r="K53" s="269"/>
      <c r="L53" s="269"/>
      <c r="M53" s="269"/>
      <c r="N53" s="269"/>
      <c r="O53" s="906"/>
    </row>
    <row r="54" spans="1:15" s="35" customFormat="1" ht="15">
      <c r="A54" s="632" t="s">
        <v>425</v>
      </c>
      <c r="B54" s="34">
        <f>750*12</f>
        <v>9000</v>
      </c>
      <c r="C54" s="34">
        <f aca="true" t="shared" si="17" ref="C54:H54">B54</f>
        <v>9000</v>
      </c>
      <c r="D54" s="34">
        <f t="shared" si="17"/>
        <v>9000</v>
      </c>
      <c r="E54" s="34">
        <f t="shared" si="17"/>
        <v>9000</v>
      </c>
      <c r="F54" s="34">
        <f t="shared" si="17"/>
        <v>9000</v>
      </c>
      <c r="G54" s="34">
        <f t="shared" si="17"/>
        <v>9000</v>
      </c>
      <c r="H54" s="34">
        <f t="shared" si="17"/>
        <v>9000</v>
      </c>
      <c r="I54" s="34">
        <f>(H54*(1+ECO!O10)*(1+ECO!P10)*(1+ECO!Q10)*(1+ECO!R10)*(1+ECO!S10))</f>
        <v>10586.060546135039</v>
      </c>
      <c r="J54" s="34">
        <f>I54</f>
        <v>10586.060546135039</v>
      </c>
      <c r="K54" s="34">
        <f aca="true" t="shared" si="18" ref="K54:O54">J54</f>
        <v>10586.060546135039</v>
      </c>
      <c r="L54" s="34">
        <f t="shared" si="18"/>
        <v>10586.060546135039</v>
      </c>
      <c r="M54" s="34">
        <f t="shared" si="18"/>
        <v>10586.060546135039</v>
      </c>
      <c r="N54" s="34">
        <f>(M54*(1+ECO!T10)*(1+ECO!U10)*(1+ECO!V10)*(1+ECO!W10)*(1+ECO!X10))</f>
        <v>12391.756190483193</v>
      </c>
      <c r="O54" s="819">
        <f t="shared" si="18"/>
        <v>12391.756190483193</v>
      </c>
    </row>
    <row r="55" spans="1:15" s="35" customFormat="1" ht="15">
      <c r="A55" s="632" t="s">
        <v>619</v>
      </c>
      <c r="B55" s="34">
        <f>500*12</f>
        <v>6000</v>
      </c>
      <c r="C55" s="34">
        <f aca="true" t="shared" si="19" ref="C55:O55">500*12</f>
        <v>6000</v>
      </c>
      <c r="D55" s="34">
        <f t="shared" si="19"/>
        <v>6000</v>
      </c>
      <c r="E55" s="34">
        <f t="shared" si="19"/>
        <v>6000</v>
      </c>
      <c r="F55" s="34">
        <f t="shared" si="19"/>
        <v>6000</v>
      </c>
      <c r="G55" s="34">
        <f t="shared" si="19"/>
        <v>6000</v>
      </c>
      <c r="H55" s="34">
        <f t="shared" si="19"/>
        <v>6000</v>
      </c>
      <c r="I55" s="34">
        <f t="shared" si="19"/>
        <v>6000</v>
      </c>
      <c r="J55" s="34">
        <f t="shared" si="19"/>
        <v>6000</v>
      </c>
      <c r="K55" s="34">
        <f t="shared" si="19"/>
        <v>6000</v>
      </c>
      <c r="L55" s="34">
        <f t="shared" si="19"/>
        <v>6000</v>
      </c>
      <c r="M55" s="34">
        <f t="shared" si="19"/>
        <v>6000</v>
      </c>
      <c r="N55" s="34">
        <f t="shared" si="19"/>
        <v>6000</v>
      </c>
      <c r="O55" s="819">
        <f t="shared" si="19"/>
        <v>6000</v>
      </c>
    </row>
    <row r="56" spans="1:15" s="35" customFormat="1" ht="15">
      <c r="A56" s="632" t="s">
        <v>620</v>
      </c>
      <c r="B56" s="34">
        <f>B54-B55</f>
        <v>3000</v>
      </c>
      <c r="C56" s="34">
        <f aca="true" t="shared" si="20" ref="C56:O56">C54-C55</f>
        <v>3000</v>
      </c>
      <c r="D56" s="34">
        <f t="shared" si="20"/>
        <v>3000</v>
      </c>
      <c r="E56" s="34">
        <f t="shared" si="20"/>
        <v>3000</v>
      </c>
      <c r="F56" s="34">
        <f t="shared" si="20"/>
        <v>3000</v>
      </c>
      <c r="G56" s="34">
        <f t="shared" si="20"/>
        <v>3000</v>
      </c>
      <c r="H56" s="34">
        <f t="shared" si="20"/>
        <v>3000</v>
      </c>
      <c r="I56" s="34">
        <f t="shared" si="20"/>
        <v>4586.060546135039</v>
      </c>
      <c r="J56" s="34">
        <f t="shared" si="20"/>
        <v>4586.060546135039</v>
      </c>
      <c r="K56" s="34">
        <f t="shared" si="20"/>
        <v>4586.060546135039</v>
      </c>
      <c r="L56" s="34">
        <f t="shared" si="20"/>
        <v>4586.060546135039</v>
      </c>
      <c r="M56" s="34">
        <f t="shared" si="20"/>
        <v>4586.060546135039</v>
      </c>
      <c r="N56" s="34">
        <f t="shared" si="20"/>
        <v>6391.756190483193</v>
      </c>
      <c r="O56" s="819">
        <f t="shared" si="20"/>
        <v>6391.756190483193</v>
      </c>
    </row>
    <row r="57" spans="1:15" s="35" customFormat="1" ht="15">
      <c r="A57" s="632"/>
      <c r="B57" s="34"/>
      <c r="C57" s="34"/>
      <c r="D57" s="34"/>
      <c r="E57" s="34"/>
      <c r="F57" s="34"/>
      <c r="G57" s="34"/>
      <c r="H57" s="34"/>
      <c r="I57" s="34"/>
      <c r="J57" s="34"/>
      <c r="K57" s="34"/>
      <c r="L57" s="34"/>
      <c r="M57" s="34"/>
      <c r="N57" s="34"/>
      <c r="O57" s="819"/>
    </row>
    <row r="58" spans="1:15" s="658" customFormat="1" ht="15">
      <c r="A58" s="987" t="s">
        <v>621</v>
      </c>
      <c r="B58" s="1043">
        <f>B52*B56/1000</f>
        <v>0</v>
      </c>
      <c r="C58" s="1043">
        <f aca="true" t="shared" si="21" ref="C58:N58">C52*C56/1000</f>
        <v>0</v>
      </c>
      <c r="D58" s="1043">
        <f t="shared" si="21"/>
        <v>3509.2597040816318</v>
      </c>
      <c r="E58" s="1043">
        <f t="shared" si="21"/>
        <v>3617.907979591836</v>
      </c>
      <c r="F58" s="1043">
        <f t="shared" si="21"/>
        <v>3736.575459183672</v>
      </c>
      <c r="G58" s="1043">
        <f t="shared" si="21"/>
        <v>3863.521469387754</v>
      </c>
      <c r="H58" s="1043">
        <f t="shared" si="21"/>
        <v>3975.4973571428563</v>
      </c>
      <c r="I58" s="1043">
        <f t="shared" si="21"/>
        <v>6254.478357753912</v>
      </c>
      <c r="J58" s="1043">
        <f t="shared" si="21"/>
        <v>6440.227708443628</v>
      </c>
      <c r="K58" s="1043">
        <f t="shared" si="21"/>
        <v>6630.7101543961735</v>
      </c>
      <c r="L58" s="1043">
        <f t="shared" si="21"/>
        <v>6828.4438640202</v>
      </c>
      <c r="M58" s="1043">
        <f t="shared" si="21"/>
        <v>6993.387053553216</v>
      </c>
      <c r="N58" s="1043">
        <f t="shared" si="21"/>
        <v>9982.321578055016</v>
      </c>
      <c r="O58" s="1045">
        <f>O52*O56/1000</f>
        <v>10223.831346388344</v>
      </c>
    </row>
    <row r="59" spans="1:15" s="35" customFormat="1" ht="15">
      <c r="A59" s="632"/>
      <c r="B59" s="34"/>
      <c r="C59" s="34"/>
      <c r="D59" s="34"/>
      <c r="E59" s="34"/>
      <c r="F59" s="34"/>
      <c r="G59" s="34"/>
      <c r="H59" s="34"/>
      <c r="I59" s="34"/>
      <c r="J59" s="34"/>
      <c r="K59" s="34"/>
      <c r="L59" s="34"/>
      <c r="M59" s="34"/>
      <c r="N59" s="34"/>
      <c r="O59" s="819"/>
    </row>
    <row r="60" spans="1:15" s="35" customFormat="1" ht="15">
      <c r="A60" s="1046" t="s">
        <v>624</v>
      </c>
      <c r="B60" s="34"/>
      <c r="C60" s="34"/>
      <c r="D60" s="34"/>
      <c r="E60" s="34"/>
      <c r="F60" s="34"/>
      <c r="G60" s="34"/>
      <c r="H60" s="34"/>
      <c r="I60" s="34"/>
      <c r="J60" s="34"/>
      <c r="K60" s="34"/>
      <c r="L60" s="34"/>
      <c r="M60" s="34"/>
      <c r="N60" s="34"/>
      <c r="O60" s="819"/>
    </row>
    <row r="61" spans="1:15" ht="15">
      <c r="A61" s="654" t="s">
        <v>332</v>
      </c>
      <c r="B61" s="31">
        <f>SUM(POP!L$67)</f>
        <v>596</v>
      </c>
      <c r="C61" s="31">
        <f>SUM(POP!M$67)</f>
        <v>643</v>
      </c>
      <c r="D61" s="31">
        <f>SUM(POP!N$67)</f>
        <v>683</v>
      </c>
      <c r="E61" s="31">
        <f>SUM(POP!O$67)</f>
        <v>713</v>
      </c>
      <c r="F61" s="31">
        <f>SUM(POP!P$67)</f>
        <v>726</v>
      </c>
      <c r="G61" s="31">
        <f>SUM(POP!Q$67)</f>
        <v>725</v>
      </c>
      <c r="H61" s="31">
        <f>SUM(POP!R$67)</f>
        <v>760</v>
      </c>
      <c r="I61" s="31">
        <f>SUM(POP!S$67)</f>
        <v>783</v>
      </c>
      <c r="J61" s="31">
        <f>SUM(POP!T$67)</f>
        <v>797</v>
      </c>
      <c r="K61" s="31">
        <f>SUM(POP!U$67)</f>
        <v>805</v>
      </c>
      <c r="L61" s="31">
        <f>SUM(POP!V$67)</f>
        <v>810</v>
      </c>
      <c r="M61" s="31">
        <f>SUM(POP!W$67)</f>
        <v>871</v>
      </c>
      <c r="N61" s="31">
        <f>SUM(POP!X$67)</f>
        <v>924</v>
      </c>
      <c r="O61" s="900">
        <f>SUM(POP!Y$67)</f>
        <v>970</v>
      </c>
    </row>
    <row r="62" spans="1:15" ht="15">
      <c r="A62" s="632" t="s">
        <v>74</v>
      </c>
      <c r="B62" s="269">
        <v>0</v>
      </c>
      <c r="C62" s="269">
        <v>0</v>
      </c>
      <c r="D62" s="269">
        <v>1</v>
      </c>
      <c r="E62" s="269">
        <v>1</v>
      </c>
      <c r="F62" s="269">
        <v>1</v>
      </c>
      <c r="G62" s="269">
        <v>1</v>
      </c>
      <c r="H62" s="269">
        <v>1</v>
      </c>
      <c r="I62" s="269">
        <v>1</v>
      </c>
      <c r="J62" s="269">
        <v>1</v>
      </c>
      <c r="K62" s="269">
        <v>1</v>
      </c>
      <c r="L62" s="269">
        <v>1</v>
      </c>
      <c r="M62" s="269">
        <v>1</v>
      </c>
      <c r="N62" s="269">
        <v>1</v>
      </c>
      <c r="O62" s="906">
        <v>1</v>
      </c>
    </row>
    <row r="63" spans="1:15" s="35" customFormat="1" ht="15">
      <c r="A63" s="632" t="s">
        <v>70</v>
      </c>
      <c r="B63" s="34">
        <f>B61*B62</f>
        <v>0</v>
      </c>
      <c r="C63" s="34">
        <f aca="true" t="shared" si="22" ref="C63:O63">C61*C62</f>
        <v>0</v>
      </c>
      <c r="D63" s="34">
        <f t="shared" si="22"/>
        <v>683</v>
      </c>
      <c r="E63" s="34">
        <f t="shared" si="22"/>
        <v>713</v>
      </c>
      <c r="F63" s="34">
        <f t="shared" si="22"/>
        <v>726</v>
      </c>
      <c r="G63" s="34">
        <f t="shared" si="22"/>
        <v>725</v>
      </c>
      <c r="H63" s="34">
        <f t="shared" si="22"/>
        <v>760</v>
      </c>
      <c r="I63" s="34">
        <f t="shared" si="22"/>
        <v>783</v>
      </c>
      <c r="J63" s="34">
        <f t="shared" si="22"/>
        <v>797</v>
      </c>
      <c r="K63" s="34">
        <f t="shared" si="22"/>
        <v>805</v>
      </c>
      <c r="L63" s="34">
        <f t="shared" si="22"/>
        <v>810</v>
      </c>
      <c r="M63" s="34">
        <f t="shared" si="22"/>
        <v>871</v>
      </c>
      <c r="N63" s="34">
        <f t="shared" si="22"/>
        <v>924</v>
      </c>
      <c r="O63" s="819">
        <f t="shared" si="22"/>
        <v>970</v>
      </c>
    </row>
    <row r="64" spans="1:15" s="35" customFormat="1" ht="15">
      <c r="A64" s="632"/>
      <c r="B64" s="280"/>
      <c r="C64" s="280"/>
      <c r="D64" s="280"/>
      <c r="E64" s="280"/>
      <c r="F64" s="280"/>
      <c r="G64" s="280"/>
      <c r="H64" s="280"/>
      <c r="I64" s="280"/>
      <c r="J64" s="280"/>
      <c r="K64" s="280"/>
      <c r="L64" s="280"/>
      <c r="M64" s="280"/>
      <c r="N64" s="280"/>
      <c r="O64" s="1033"/>
    </row>
    <row r="65" spans="1:15" ht="15">
      <c r="A65" s="632" t="s">
        <v>425</v>
      </c>
      <c r="B65" s="34">
        <f>750*12</f>
        <v>9000</v>
      </c>
      <c r="C65" s="34">
        <f aca="true" t="shared" si="23" ref="C65:H66">B65</f>
        <v>9000</v>
      </c>
      <c r="D65" s="34">
        <f t="shared" si="23"/>
        <v>9000</v>
      </c>
      <c r="E65" s="34">
        <f t="shared" si="23"/>
        <v>9000</v>
      </c>
      <c r="F65" s="34">
        <f t="shared" si="23"/>
        <v>9000</v>
      </c>
      <c r="G65" s="34">
        <f t="shared" si="23"/>
        <v>9000</v>
      </c>
      <c r="H65" s="34">
        <f t="shared" si="23"/>
        <v>9000</v>
      </c>
      <c r="I65" s="34">
        <f>(H65*(1+ECO!O10)*(1+ECO!P10)*(1+ECO!Q10)*(1+ECO!R10)*(1+ECO!S10))</f>
        <v>10586.060546135039</v>
      </c>
      <c r="J65" s="34">
        <f>I65</f>
        <v>10586.060546135039</v>
      </c>
      <c r="K65" s="34">
        <f aca="true" t="shared" si="24" ref="K65:O65">J65</f>
        <v>10586.060546135039</v>
      </c>
      <c r="L65" s="34">
        <f t="shared" si="24"/>
        <v>10586.060546135039</v>
      </c>
      <c r="M65" s="34">
        <f t="shared" si="24"/>
        <v>10586.060546135039</v>
      </c>
      <c r="N65" s="34">
        <f>(M65*(1+ECO!T10)*(1+ECO!U10)*(1+ECO!V10)*(1+ECO!W10)*(1+ECO!X10))</f>
        <v>12391.756190483193</v>
      </c>
      <c r="O65" s="819">
        <f t="shared" si="24"/>
        <v>12391.756190483193</v>
      </c>
    </row>
    <row r="66" spans="1:15" ht="15">
      <c r="A66" s="632" t="s">
        <v>619</v>
      </c>
      <c r="B66" s="34">
        <v>0</v>
      </c>
      <c r="C66" s="34">
        <f>B66</f>
        <v>0</v>
      </c>
      <c r="D66" s="34">
        <f t="shared" si="23"/>
        <v>0</v>
      </c>
      <c r="E66" s="34">
        <f t="shared" si="23"/>
        <v>0</v>
      </c>
      <c r="F66" s="34">
        <f t="shared" si="23"/>
        <v>0</v>
      </c>
      <c r="G66" s="34">
        <f t="shared" si="23"/>
        <v>0</v>
      </c>
      <c r="H66" s="34">
        <f t="shared" si="23"/>
        <v>0</v>
      </c>
      <c r="I66" s="34">
        <f aca="true" t="shared" si="25" ref="I66:O66">H66</f>
        <v>0</v>
      </c>
      <c r="J66" s="34">
        <f t="shared" si="25"/>
        <v>0</v>
      </c>
      <c r="K66" s="34">
        <f t="shared" si="25"/>
        <v>0</v>
      </c>
      <c r="L66" s="34">
        <f t="shared" si="25"/>
        <v>0</v>
      </c>
      <c r="M66" s="34">
        <f t="shared" si="25"/>
        <v>0</v>
      </c>
      <c r="N66" s="34">
        <f t="shared" si="25"/>
        <v>0</v>
      </c>
      <c r="O66" s="819">
        <f t="shared" si="25"/>
        <v>0</v>
      </c>
    </row>
    <row r="67" spans="1:15" ht="15">
      <c r="A67" s="632" t="s">
        <v>620</v>
      </c>
      <c r="B67" s="34">
        <f>B65-B66</f>
        <v>9000</v>
      </c>
      <c r="C67" s="34">
        <f aca="true" t="shared" si="26" ref="C67:O67">C65-C66</f>
        <v>9000</v>
      </c>
      <c r="D67" s="34">
        <f t="shared" si="26"/>
        <v>9000</v>
      </c>
      <c r="E67" s="34">
        <f t="shared" si="26"/>
        <v>9000</v>
      </c>
      <c r="F67" s="34">
        <f t="shared" si="26"/>
        <v>9000</v>
      </c>
      <c r="G67" s="34">
        <f t="shared" si="26"/>
        <v>9000</v>
      </c>
      <c r="H67" s="34">
        <f t="shared" si="26"/>
        <v>9000</v>
      </c>
      <c r="I67" s="34">
        <f t="shared" si="26"/>
        <v>10586.060546135039</v>
      </c>
      <c r="J67" s="34">
        <f t="shared" si="26"/>
        <v>10586.060546135039</v>
      </c>
      <c r="K67" s="34">
        <f t="shared" si="26"/>
        <v>10586.060546135039</v>
      </c>
      <c r="L67" s="34">
        <f t="shared" si="26"/>
        <v>10586.060546135039</v>
      </c>
      <c r="M67" s="34">
        <f t="shared" si="26"/>
        <v>10586.060546135039</v>
      </c>
      <c r="N67" s="34">
        <f t="shared" si="26"/>
        <v>12391.756190483193</v>
      </c>
      <c r="O67" s="819">
        <f t="shared" si="26"/>
        <v>12391.756190483193</v>
      </c>
    </row>
    <row r="68" spans="1:15" ht="15">
      <c r="A68" s="632"/>
      <c r="B68" s="34"/>
      <c r="C68" s="34"/>
      <c r="D68" s="34"/>
      <c r="E68" s="34"/>
      <c r="F68" s="34"/>
      <c r="G68" s="34"/>
      <c r="H68" s="34"/>
      <c r="I68" s="34"/>
      <c r="J68" s="34"/>
      <c r="K68" s="34"/>
      <c r="L68" s="34"/>
      <c r="M68" s="34"/>
      <c r="N68" s="34"/>
      <c r="O68" s="819"/>
    </row>
    <row r="69" spans="1:15" s="658" customFormat="1" ht="15">
      <c r="A69" s="987" t="s">
        <v>621</v>
      </c>
      <c r="B69" s="1043">
        <f>(B63*B67)/1000</f>
        <v>0</v>
      </c>
      <c r="C69" s="1043">
        <f aca="true" t="shared" si="27" ref="C69:N69">(C63*C67)/1000</f>
        <v>0</v>
      </c>
      <c r="D69" s="1043">
        <f t="shared" si="27"/>
        <v>6147</v>
      </c>
      <c r="E69" s="1043">
        <f t="shared" si="27"/>
        <v>6417</v>
      </c>
      <c r="F69" s="1043">
        <f t="shared" si="27"/>
        <v>6534</v>
      </c>
      <c r="G69" s="1043">
        <f t="shared" si="27"/>
        <v>6525</v>
      </c>
      <c r="H69" s="1043">
        <f t="shared" si="27"/>
        <v>6840</v>
      </c>
      <c r="I69" s="1043">
        <f t="shared" si="27"/>
        <v>8288.885407623735</v>
      </c>
      <c r="J69" s="1043">
        <f t="shared" si="27"/>
        <v>8437.090255269626</v>
      </c>
      <c r="K69" s="1043">
        <f t="shared" si="27"/>
        <v>8521.778739638707</v>
      </c>
      <c r="L69" s="1043">
        <f t="shared" si="27"/>
        <v>8574.70904236938</v>
      </c>
      <c r="M69" s="1043">
        <f t="shared" si="27"/>
        <v>9220.458735683618</v>
      </c>
      <c r="N69" s="1043">
        <f t="shared" si="27"/>
        <v>11449.98272000647</v>
      </c>
      <c r="O69" s="1045">
        <f>(O63*O67)/1000</f>
        <v>12020.003504768698</v>
      </c>
    </row>
    <row r="70" spans="1:15" s="35" customFormat="1" ht="15">
      <c r="A70" s="632"/>
      <c r="B70" s="34"/>
      <c r="C70" s="34"/>
      <c r="D70" s="34"/>
      <c r="E70" s="34"/>
      <c r="F70" s="34"/>
      <c r="G70" s="34"/>
      <c r="H70" s="34"/>
      <c r="I70" s="34"/>
      <c r="J70" s="34"/>
      <c r="K70" s="34"/>
      <c r="L70" s="34"/>
      <c r="M70" s="34"/>
      <c r="N70" s="34"/>
      <c r="O70" s="819"/>
    </row>
    <row r="71" spans="1:15" s="35" customFormat="1" ht="15">
      <c r="A71" s="632" t="s">
        <v>539</v>
      </c>
      <c r="B71" s="34">
        <f aca="true" t="shared" si="28" ref="B71:I71">B58+B69</f>
        <v>0</v>
      </c>
      <c r="C71" s="34">
        <f t="shared" si="28"/>
        <v>0</v>
      </c>
      <c r="D71" s="34">
        <f t="shared" si="28"/>
        <v>9656.259704081633</v>
      </c>
      <c r="E71" s="34">
        <f t="shared" si="28"/>
        <v>10034.907979591837</v>
      </c>
      <c r="F71" s="34">
        <f t="shared" si="28"/>
        <v>10270.575459183672</v>
      </c>
      <c r="G71" s="34">
        <f t="shared" si="28"/>
        <v>10388.521469387753</v>
      </c>
      <c r="H71" s="34">
        <f t="shared" si="28"/>
        <v>10815.497357142856</v>
      </c>
      <c r="I71" s="34">
        <f t="shared" si="28"/>
        <v>14543.363765377646</v>
      </c>
      <c r="J71" s="34">
        <f aca="true" t="shared" si="29" ref="J71:O71">J58+J69</f>
        <v>14877.317963713254</v>
      </c>
      <c r="K71" s="34">
        <f t="shared" si="29"/>
        <v>15152.48889403488</v>
      </c>
      <c r="L71" s="34">
        <f t="shared" si="29"/>
        <v>15403.15290638958</v>
      </c>
      <c r="M71" s="34">
        <f t="shared" si="29"/>
        <v>16213.845789236835</v>
      </c>
      <c r="N71" s="34">
        <f t="shared" si="29"/>
        <v>21432.304298061485</v>
      </c>
      <c r="O71" s="819">
        <f t="shared" si="29"/>
        <v>22243.834851157044</v>
      </c>
    </row>
    <row r="72" spans="1:15" s="35" customFormat="1" ht="15">
      <c r="A72" s="632"/>
      <c r="B72" s="34"/>
      <c r="C72" s="34"/>
      <c r="D72" s="34"/>
      <c r="E72" s="34"/>
      <c r="F72" s="34"/>
      <c r="G72" s="34"/>
      <c r="H72" s="34"/>
      <c r="I72" s="34"/>
      <c r="J72" s="34"/>
      <c r="K72" s="34"/>
      <c r="L72" s="34"/>
      <c r="M72" s="34"/>
      <c r="N72" s="34"/>
      <c r="O72" s="819"/>
    </row>
    <row r="73" spans="1:15" s="35" customFormat="1" ht="15">
      <c r="A73" s="632" t="s">
        <v>542</v>
      </c>
      <c r="B73" s="34">
        <f>B71*7%</f>
        <v>0</v>
      </c>
      <c r="C73" s="34">
        <f aca="true" t="shared" si="30" ref="C73:O73">C71*7%</f>
        <v>0</v>
      </c>
      <c r="D73" s="34">
        <f t="shared" si="30"/>
        <v>675.9381792857143</v>
      </c>
      <c r="E73" s="34">
        <f t="shared" si="30"/>
        <v>702.4435585714286</v>
      </c>
      <c r="F73" s="34">
        <f t="shared" si="30"/>
        <v>718.9402821428571</v>
      </c>
      <c r="G73" s="34">
        <f t="shared" si="30"/>
        <v>727.1965028571428</v>
      </c>
      <c r="H73" s="34">
        <f t="shared" si="30"/>
        <v>757.084815</v>
      </c>
      <c r="I73" s="34">
        <f t="shared" si="30"/>
        <v>1018.0354635764353</v>
      </c>
      <c r="J73" s="34">
        <f t="shared" si="30"/>
        <v>1041.412257459928</v>
      </c>
      <c r="K73" s="34">
        <f t="shared" si="30"/>
        <v>1060.6742225824416</v>
      </c>
      <c r="L73" s="34">
        <f t="shared" si="30"/>
        <v>1078.2207034472706</v>
      </c>
      <c r="M73" s="34">
        <f t="shared" si="30"/>
        <v>1134.9692052465787</v>
      </c>
      <c r="N73" s="34">
        <f t="shared" si="30"/>
        <v>1500.261300864304</v>
      </c>
      <c r="O73" s="819">
        <f t="shared" si="30"/>
        <v>1557.0684395809933</v>
      </c>
    </row>
    <row r="74" spans="1:15" s="35" customFormat="1" ht="15">
      <c r="A74" s="632"/>
      <c r="B74" s="34"/>
      <c r="C74" s="34"/>
      <c r="D74" s="34"/>
      <c r="E74" s="34"/>
      <c r="F74" s="34"/>
      <c r="G74" s="34"/>
      <c r="H74" s="34"/>
      <c r="I74" s="34"/>
      <c r="J74" s="34"/>
      <c r="K74" s="34"/>
      <c r="L74" s="34"/>
      <c r="M74" s="34"/>
      <c r="N74" s="34"/>
      <c r="O74" s="819"/>
    </row>
    <row r="75" spans="1:15" ht="15">
      <c r="A75" s="633" t="s">
        <v>247</v>
      </c>
      <c r="B75" s="45">
        <f aca="true" t="shared" si="31" ref="B75:O75">B71+B73</f>
        <v>0</v>
      </c>
      <c r="C75" s="45">
        <f t="shared" si="31"/>
        <v>0</v>
      </c>
      <c r="D75" s="45">
        <f t="shared" si="31"/>
        <v>10332.197883367347</v>
      </c>
      <c r="E75" s="45">
        <f t="shared" si="31"/>
        <v>10737.351538163266</v>
      </c>
      <c r="F75" s="45">
        <f t="shared" si="31"/>
        <v>10989.51574132653</v>
      </c>
      <c r="G75" s="45">
        <f t="shared" si="31"/>
        <v>11115.717972244896</v>
      </c>
      <c r="H75" s="45">
        <f t="shared" si="31"/>
        <v>11572.582172142857</v>
      </c>
      <c r="I75" s="45">
        <f t="shared" si="31"/>
        <v>15561.399228954082</v>
      </c>
      <c r="J75" s="45">
        <f t="shared" si="31"/>
        <v>15918.730221173182</v>
      </c>
      <c r="K75" s="45">
        <f t="shared" si="31"/>
        <v>16213.163116617321</v>
      </c>
      <c r="L75" s="45">
        <f t="shared" si="31"/>
        <v>16481.37360983685</v>
      </c>
      <c r="M75" s="45">
        <f t="shared" si="31"/>
        <v>17348.814994483415</v>
      </c>
      <c r="N75" s="45">
        <f t="shared" si="31"/>
        <v>22932.56559892579</v>
      </c>
      <c r="O75" s="874">
        <f t="shared" si="31"/>
        <v>23800.90329073804</v>
      </c>
    </row>
    <row r="76" spans="1:15" ht="15">
      <c r="A76" s="633" t="s">
        <v>69</v>
      </c>
      <c r="B76" s="271">
        <f>B75/(ECO!L$66*1000)</f>
        <v>0</v>
      </c>
      <c r="C76" s="271">
        <f>C75/(ECO!M$66*1000)</f>
        <v>0</v>
      </c>
      <c r="D76" s="271">
        <f>D75/(ECO!N$66*1000)</f>
        <v>0.0006234388913286541</v>
      </c>
      <c r="E76" s="271">
        <f>E75/(ECO!O$66*1000)</f>
        <v>0.0005888627439262673</v>
      </c>
      <c r="F76" s="271">
        <f>F75/(ECO!P$66*1000)</f>
        <v>0.0005482991918305773</v>
      </c>
      <c r="G76" s="271">
        <f>G75/(ECO!Q$66*1000)</f>
        <v>0.0005051251542143097</v>
      </c>
      <c r="H76" s="271">
        <f>H75/(ECO!R$66*1000)</f>
        <v>0.0004961190285681591</v>
      </c>
      <c r="I76" s="271">
        <f>I75/(ECO!S$66*1000)</f>
        <v>0.0006293589185416614</v>
      </c>
      <c r="J76" s="271">
        <f>J75/(ECO!T$66*1000)</f>
        <v>0.0006073685549562283</v>
      </c>
      <c r="K76" s="271">
        <f>K75/(ECO!U$66*1000)</f>
        <v>0.0005835872132891899</v>
      </c>
      <c r="L76" s="271">
        <f>L75/(ECO!V$66*1000)</f>
        <v>0.0005596616579881272</v>
      </c>
      <c r="M76" s="271">
        <f>M75/(ECO!W$66*1000)</f>
        <v>0.0005557712805842382</v>
      </c>
      <c r="N76" s="271">
        <f>N75/(ECO!X$66*1000)</f>
        <v>0.0006930635588704298</v>
      </c>
      <c r="O76" s="968">
        <f>O75/(ECO!Y$66*1000)</f>
        <v>0.0006785908420030782</v>
      </c>
    </row>
    <row r="77" spans="1:15" ht="15">
      <c r="A77" s="634" t="s">
        <v>71</v>
      </c>
      <c r="B77" s="1011">
        <f>B75/('GGO (SQ)'!L$24*1000)</f>
        <v>0</v>
      </c>
      <c r="C77" s="1011">
        <f>C75/('GGO (SQ)'!M$24*1000)</f>
        <v>0</v>
      </c>
      <c r="D77" s="1011">
        <f>D75/('GGO (SQ)'!N$24*1000)</f>
        <v>0.003974793819117709</v>
      </c>
      <c r="E77" s="1011">
        <f>E75/('GGO (SQ)'!O$24*1000)</f>
        <v>0.0037543503099054156</v>
      </c>
      <c r="F77" s="1011">
        <f>F75/('GGO (SQ)'!P$24*1000)</f>
        <v>0.0034957335338364802</v>
      </c>
      <c r="G77" s="1011">
        <f>G75/('GGO (SQ)'!Q$24*1000)</f>
        <v>0.003220473359583042</v>
      </c>
      <c r="H77" s="1011">
        <f>H75/('GGO (SQ)'!R$24*1000)</f>
        <v>0.0031630539507998866</v>
      </c>
      <c r="I77" s="1011">
        <f>I75/('GGO (SQ)'!S$24*1000)</f>
        <v>0.004012537514454266</v>
      </c>
      <c r="J77" s="1011">
        <f>J75/('GGO (SQ)'!T$24*1000)</f>
        <v>0.0038723358644204495</v>
      </c>
      <c r="K77" s="1011">
        <f>K75/('GGO (SQ)'!U$24*1000)</f>
        <v>0.003720715663654631</v>
      </c>
      <c r="L77" s="1011">
        <f>L75/('GGO (SQ)'!V$24*1000)</f>
        <v>0.003568176015178498</v>
      </c>
      <c r="M77" s="1011">
        <f>M75/('GGO (SQ)'!W$24*1000)</f>
        <v>0.003543372544823835</v>
      </c>
      <c r="N77" s="1011">
        <f>N75/('GGO (SQ)'!X$24*1000)</f>
        <v>0.0044186924947575736</v>
      </c>
      <c r="O77" s="1012">
        <f>O75/('GGO (SQ)'!Y$24*1000)</f>
        <v>0.0043264203148369535</v>
      </c>
    </row>
    <row r="78" spans="1:16" ht="15">
      <c r="A78" s="1155" t="s">
        <v>625</v>
      </c>
      <c r="B78" s="1156"/>
      <c r="C78" s="1156"/>
      <c r="D78" s="1156"/>
      <c r="E78" s="1156"/>
      <c r="F78" s="1156"/>
      <c r="G78" s="1156"/>
      <c r="H78" s="1156"/>
      <c r="I78" s="1156"/>
      <c r="J78" s="1156"/>
      <c r="K78" s="1156"/>
      <c r="L78" s="1156"/>
      <c r="M78" s="1156"/>
      <c r="N78" s="1156"/>
      <c r="O78" s="1157"/>
      <c r="P78" s="31"/>
    </row>
    <row r="79" spans="1:16" ht="15">
      <c r="A79" s="1046" t="s">
        <v>622</v>
      </c>
      <c r="B79" s="31"/>
      <c r="C79" s="31"/>
      <c r="D79" s="31"/>
      <c r="E79" s="31"/>
      <c r="F79" s="31"/>
      <c r="G79" s="31"/>
      <c r="H79" s="31"/>
      <c r="I79" s="31"/>
      <c r="J79" s="28"/>
      <c r="K79" s="31"/>
      <c r="L79" s="31"/>
      <c r="M79" s="31"/>
      <c r="N79" s="31"/>
      <c r="O79" s="29"/>
      <c r="P79" s="31"/>
    </row>
    <row r="80" spans="1:16" ht="15">
      <c r="A80" s="644" t="s">
        <v>355</v>
      </c>
      <c r="B80" s="263">
        <f>SUM(POP!L$63:L$64)</f>
        <v>4663</v>
      </c>
      <c r="C80" s="31">
        <f>SUM(POP!M$63:M$64)</f>
        <v>4848</v>
      </c>
      <c r="D80" s="31">
        <f>SUM(POP!N$63:N$64)</f>
        <v>5043</v>
      </c>
      <c r="E80" s="31">
        <f>SUM(POP!O$63:O$64)</f>
        <v>5248</v>
      </c>
      <c r="F80" s="31">
        <f>SUM(POP!P$63:P$64)</f>
        <v>5464</v>
      </c>
      <c r="G80" s="31">
        <f>SUM(POP!Q$63:Q$64)</f>
        <v>5690</v>
      </c>
      <c r="H80" s="31">
        <f>SUM(POP!R$63:R$64)</f>
        <v>5894</v>
      </c>
      <c r="I80" s="31">
        <f>SUM(POP!S$63:S$64)</f>
        <v>6104</v>
      </c>
      <c r="J80" s="31">
        <f>SUM(POP!T$63:T$64)</f>
        <v>6323</v>
      </c>
      <c r="K80" s="31">
        <f>SUM(POP!U$63:U$64)</f>
        <v>6547</v>
      </c>
      <c r="L80" s="31">
        <f>SUM(POP!V$63:V$64)</f>
        <v>6778</v>
      </c>
      <c r="M80" s="31">
        <f>SUM(POP!W$63:W$64)</f>
        <v>6978</v>
      </c>
      <c r="N80" s="31">
        <f>SUM(POP!X$63:X$64)</f>
        <v>7183</v>
      </c>
      <c r="O80" s="900">
        <f>SUM(POP!Y$63:Y$64)</f>
        <v>7393</v>
      </c>
      <c r="P80" s="99"/>
    </row>
    <row r="81" spans="1:15" ht="15">
      <c r="A81" s="644" t="s">
        <v>356</v>
      </c>
      <c r="B81" s="263">
        <f>B80*ECO!L59</f>
        <v>766.9683367346938</v>
      </c>
      <c r="C81" s="31">
        <f>C80*ECO!M59</f>
        <v>790.7186938775509</v>
      </c>
      <c r="D81" s="31">
        <f>D80*ECO!N59</f>
        <v>815.5766020408162</v>
      </c>
      <c r="E81" s="31">
        <f>E80*ECO!O59</f>
        <v>841.5007346938775</v>
      </c>
      <c r="F81" s="31">
        <f>F80*ECO!P59</f>
        <v>868.6087346938773</v>
      </c>
      <c r="G81" s="31">
        <f>G80*ECO!Q59</f>
        <v>896.697551020408</v>
      </c>
      <c r="H81" s="31">
        <f>H80*ECO!R59</f>
        <v>920.7269999999999</v>
      </c>
      <c r="I81" s="31">
        <f>I80*ECO!S59</f>
        <v>945.1234285714283</v>
      </c>
      <c r="J81" s="31">
        <f>J80*ECO!T59</f>
        <v>970.3224183673468</v>
      </c>
      <c r="K81" s="31">
        <f>K80*ECO!U59</f>
        <v>995.6784489795917</v>
      </c>
      <c r="L81" s="31">
        <f>L80*ECO!V59</f>
        <v>1021.4722653061223</v>
      </c>
      <c r="M81" s="31">
        <f>M80*ECO!W59</f>
        <v>1042.0005306122448</v>
      </c>
      <c r="N81" s="31">
        <f>N80*ECO!X59</f>
        <v>1062.7175204081632</v>
      </c>
      <c r="O81" s="900">
        <f>O80*ECO!Y59</f>
        <v>1083.6025714285715</v>
      </c>
    </row>
    <row r="82" spans="1:15" ht="15">
      <c r="A82" s="632" t="s">
        <v>74</v>
      </c>
      <c r="B82" s="269">
        <v>0</v>
      </c>
      <c r="C82" s="269">
        <v>0</v>
      </c>
      <c r="D82" s="269">
        <v>1</v>
      </c>
      <c r="E82" s="269">
        <v>1</v>
      </c>
      <c r="F82" s="269">
        <v>1</v>
      </c>
      <c r="G82" s="269">
        <v>1</v>
      </c>
      <c r="H82" s="269">
        <v>1</v>
      </c>
      <c r="I82" s="269">
        <v>1</v>
      </c>
      <c r="J82" s="269">
        <v>1</v>
      </c>
      <c r="K82" s="269">
        <v>1</v>
      </c>
      <c r="L82" s="269">
        <v>1</v>
      </c>
      <c r="M82" s="269">
        <v>1</v>
      </c>
      <c r="N82" s="269">
        <v>1</v>
      </c>
      <c r="O82" s="906">
        <v>1</v>
      </c>
    </row>
    <row r="83" spans="1:15" s="35" customFormat="1" ht="15">
      <c r="A83" s="632" t="s">
        <v>70</v>
      </c>
      <c r="B83" s="263">
        <f>B81*B82</f>
        <v>0</v>
      </c>
      <c r="C83" s="31">
        <f aca="true" t="shared" si="32" ref="C83:O83">C81*C82</f>
        <v>0</v>
      </c>
      <c r="D83" s="31">
        <f t="shared" si="32"/>
        <v>815.5766020408162</v>
      </c>
      <c r="E83" s="31">
        <f t="shared" si="32"/>
        <v>841.5007346938775</v>
      </c>
      <c r="F83" s="31">
        <f t="shared" si="32"/>
        <v>868.6087346938773</v>
      </c>
      <c r="G83" s="31">
        <f t="shared" si="32"/>
        <v>896.697551020408</v>
      </c>
      <c r="H83" s="31">
        <f t="shared" si="32"/>
        <v>920.7269999999999</v>
      </c>
      <c r="I83" s="31">
        <f t="shared" si="32"/>
        <v>945.1234285714283</v>
      </c>
      <c r="J83" s="31">
        <f t="shared" si="32"/>
        <v>970.3224183673468</v>
      </c>
      <c r="K83" s="31">
        <f t="shared" si="32"/>
        <v>995.6784489795917</v>
      </c>
      <c r="L83" s="31">
        <f t="shared" si="32"/>
        <v>1021.4722653061223</v>
      </c>
      <c r="M83" s="31">
        <f t="shared" si="32"/>
        <v>1042.0005306122448</v>
      </c>
      <c r="N83" s="31">
        <f t="shared" si="32"/>
        <v>1062.7175204081632</v>
      </c>
      <c r="O83" s="900">
        <f t="shared" si="32"/>
        <v>1083.6025714285715</v>
      </c>
    </row>
    <row r="84" spans="1:15" ht="15">
      <c r="A84" s="632"/>
      <c r="B84" s="269"/>
      <c r="C84" s="269"/>
      <c r="D84" s="269"/>
      <c r="E84" s="269"/>
      <c r="F84" s="269"/>
      <c r="G84" s="269"/>
      <c r="H84" s="269"/>
      <c r="I84" s="269"/>
      <c r="J84" s="269"/>
      <c r="K84" s="269"/>
      <c r="L84" s="269"/>
      <c r="M84" s="269"/>
      <c r="N84" s="269"/>
      <c r="O84" s="906"/>
    </row>
    <row r="85" spans="1:15" s="35" customFormat="1" ht="15">
      <c r="A85" s="632" t="s">
        <v>425</v>
      </c>
      <c r="B85" s="34">
        <f>750*12</f>
        <v>9000</v>
      </c>
      <c r="C85" s="34">
        <f aca="true" t="shared" si="33" ref="C85:H85">B85</f>
        <v>9000</v>
      </c>
      <c r="D85" s="34">
        <f t="shared" si="33"/>
        <v>9000</v>
      </c>
      <c r="E85" s="34">
        <f t="shared" si="33"/>
        <v>9000</v>
      </c>
      <c r="F85" s="34">
        <f t="shared" si="33"/>
        <v>9000</v>
      </c>
      <c r="G85" s="34">
        <f t="shared" si="33"/>
        <v>9000</v>
      </c>
      <c r="H85" s="34">
        <f t="shared" si="33"/>
        <v>9000</v>
      </c>
      <c r="I85" s="34">
        <f>(H85*(1+ECO!O10)*(1+ECO!P10)*(1+ECO!Q10)*(1+ECO!R10)*(1+ECO!S10))</f>
        <v>10586.060546135039</v>
      </c>
      <c r="J85" s="34">
        <f>I85</f>
        <v>10586.060546135039</v>
      </c>
      <c r="K85" s="34">
        <f aca="true" t="shared" si="34" ref="K85:M85">J85</f>
        <v>10586.060546135039</v>
      </c>
      <c r="L85" s="34">
        <f t="shared" si="34"/>
        <v>10586.060546135039</v>
      </c>
      <c r="M85" s="34">
        <f t="shared" si="34"/>
        <v>10586.060546135039</v>
      </c>
      <c r="N85" s="34">
        <f>(M85*(1+ECO!T10)*(1+ECO!U10)*(1+ECO!V10)*(1+ECO!W10)*(1+ECO!X10))</f>
        <v>12391.756190483193</v>
      </c>
      <c r="O85" s="819">
        <f>N85</f>
        <v>12391.756190483193</v>
      </c>
    </row>
    <row r="86" spans="1:15" s="35" customFormat="1" ht="15">
      <c r="A86" s="632" t="s">
        <v>619</v>
      </c>
      <c r="B86" s="34">
        <f>500*12</f>
        <v>6000</v>
      </c>
      <c r="C86" s="34">
        <f aca="true" t="shared" si="35" ref="C86:O86">500*12</f>
        <v>6000</v>
      </c>
      <c r="D86" s="34">
        <f t="shared" si="35"/>
        <v>6000</v>
      </c>
      <c r="E86" s="34">
        <f t="shared" si="35"/>
        <v>6000</v>
      </c>
      <c r="F86" s="34">
        <f t="shared" si="35"/>
        <v>6000</v>
      </c>
      <c r="G86" s="34">
        <f t="shared" si="35"/>
        <v>6000</v>
      </c>
      <c r="H86" s="34">
        <f t="shared" si="35"/>
        <v>6000</v>
      </c>
      <c r="I86" s="34">
        <f t="shared" si="35"/>
        <v>6000</v>
      </c>
      <c r="J86" s="34">
        <f t="shared" si="35"/>
        <v>6000</v>
      </c>
      <c r="K86" s="34">
        <f t="shared" si="35"/>
        <v>6000</v>
      </c>
      <c r="L86" s="34">
        <f t="shared" si="35"/>
        <v>6000</v>
      </c>
      <c r="M86" s="34">
        <f t="shared" si="35"/>
        <v>6000</v>
      </c>
      <c r="N86" s="34">
        <f t="shared" si="35"/>
        <v>6000</v>
      </c>
      <c r="O86" s="819">
        <f t="shared" si="35"/>
        <v>6000</v>
      </c>
    </row>
    <row r="87" spans="1:15" s="35" customFormat="1" ht="15">
      <c r="A87" s="632" t="s">
        <v>620</v>
      </c>
      <c r="B87" s="34">
        <f>B85-B86</f>
        <v>3000</v>
      </c>
      <c r="C87" s="34">
        <f aca="true" t="shared" si="36" ref="C87:O87">C85-C86</f>
        <v>3000</v>
      </c>
      <c r="D87" s="34">
        <f t="shared" si="36"/>
        <v>3000</v>
      </c>
      <c r="E87" s="34">
        <f t="shared" si="36"/>
        <v>3000</v>
      </c>
      <c r="F87" s="34">
        <f t="shared" si="36"/>
        <v>3000</v>
      </c>
      <c r="G87" s="34">
        <f t="shared" si="36"/>
        <v>3000</v>
      </c>
      <c r="H87" s="34">
        <f t="shared" si="36"/>
        <v>3000</v>
      </c>
      <c r="I87" s="34">
        <f t="shared" si="36"/>
        <v>4586.060546135039</v>
      </c>
      <c r="J87" s="34">
        <f t="shared" si="36"/>
        <v>4586.060546135039</v>
      </c>
      <c r="K87" s="34">
        <f t="shared" si="36"/>
        <v>4586.060546135039</v>
      </c>
      <c r="L87" s="34">
        <f t="shared" si="36"/>
        <v>4586.060546135039</v>
      </c>
      <c r="M87" s="34">
        <f t="shared" si="36"/>
        <v>4586.060546135039</v>
      </c>
      <c r="N87" s="34">
        <f t="shared" si="36"/>
        <v>6391.756190483193</v>
      </c>
      <c r="O87" s="819">
        <f t="shared" si="36"/>
        <v>6391.756190483193</v>
      </c>
    </row>
    <row r="88" spans="1:15" s="35" customFormat="1" ht="15">
      <c r="A88" s="632"/>
      <c r="B88" s="34"/>
      <c r="C88" s="34"/>
      <c r="D88" s="34"/>
      <c r="E88" s="34"/>
      <c r="F88" s="34"/>
      <c r="G88" s="34"/>
      <c r="H88" s="34"/>
      <c r="I88" s="34"/>
      <c r="J88" s="34"/>
      <c r="K88" s="34"/>
      <c r="L88" s="34"/>
      <c r="M88" s="34"/>
      <c r="N88" s="34"/>
      <c r="O88" s="819"/>
    </row>
    <row r="89" spans="1:15" s="658" customFormat="1" ht="15">
      <c r="A89" s="987" t="s">
        <v>621</v>
      </c>
      <c r="B89" s="1043">
        <f>B83*B87/1000</f>
        <v>0</v>
      </c>
      <c r="C89" s="1043">
        <f aca="true" t="shared" si="37" ref="C89:N89">C83*C87/1000</f>
        <v>0</v>
      </c>
      <c r="D89" s="1043">
        <f t="shared" si="37"/>
        <v>2446.7298061224483</v>
      </c>
      <c r="E89" s="1043">
        <f t="shared" si="37"/>
        <v>2524.502204081632</v>
      </c>
      <c r="F89" s="1043">
        <f t="shared" si="37"/>
        <v>2605.8262040816317</v>
      </c>
      <c r="G89" s="1043">
        <f t="shared" si="37"/>
        <v>2690.092653061224</v>
      </c>
      <c r="H89" s="1043">
        <f t="shared" si="37"/>
        <v>2762.1809999999996</v>
      </c>
      <c r="I89" s="1043">
        <f t="shared" si="37"/>
        <v>4334.3932669993055</v>
      </c>
      <c r="J89" s="1043">
        <f t="shared" si="37"/>
        <v>4449.957359904825</v>
      </c>
      <c r="K89" s="1043">
        <f t="shared" si="37"/>
        <v>4566.241651502235</v>
      </c>
      <c r="L89" s="1043">
        <f t="shared" si="37"/>
        <v>4684.53365489159</v>
      </c>
      <c r="M89" s="1043">
        <f t="shared" si="37"/>
        <v>4778.677522492591</v>
      </c>
      <c r="N89" s="1043">
        <f t="shared" si="37"/>
        <v>6792.631289803825</v>
      </c>
      <c r="O89" s="1045">
        <f>O83*O87/1000</f>
        <v>6926.123443952078</v>
      </c>
    </row>
    <row r="90" spans="1:15" s="35" customFormat="1" ht="15">
      <c r="A90" s="632"/>
      <c r="B90" s="34"/>
      <c r="C90" s="34"/>
      <c r="D90" s="34"/>
      <c r="E90" s="34"/>
      <c r="F90" s="34"/>
      <c r="G90" s="34"/>
      <c r="H90" s="34"/>
      <c r="I90" s="34"/>
      <c r="J90" s="34"/>
      <c r="K90" s="34"/>
      <c r="L90" s="34"/>
      <c r="M90" s="34"/>
      <c r="N90" s="34"/>
      <c r="O90" s="819"/>
    </row>
    <row r="91" spans="1:15" s="35" customFormat="1" ht="15">
      <c r="A91" s="1046" t="s">
        <v>623</v>
      </c>
      <c r="B91" s="34"/>
      <c r="C91" s="34"/>
      <c r="D91" s="34"/>
      <c r="E91" s="34"/>
      <c r="F91" s="34"/>
      <c r="G91" s="34"/>
      <c r="H91" s="34"/>
      <c r="I91" s="34"/>
      <c r="J91" s="34"/>
      <c r="K91" s="34"/>
      <c r="L91" s="34"/>
      <c r="M91" s="34"/>
      <c r="N91" s="34"/>
      <c r="O91" s="819"/>
    </row>
    <row r="92" spans="1:15" ht="15">
      <c r="A92" s="654" t="s">
        <v>354</v>
      </c>
      <c r="B92" s="31">
        <f>SUM(POP!L$65:L$67)</f>
        <v>2658</v>
      </c>
      <c r="C92" s="31">
        <f>SUM(POP!M$65:M$67)</f>
        <v>2763</v>
      </c>
      <c r="D92" s="31">
        <f>SUM(POP!N$65:N$67)</f>
        <v>2873</v>
      </c>
      <c r="E92" s="31">
        <f>SUM(POP!O$65:O$67)</f>
        <v>2986</v>
      </c>
      <c r="F92" s="31">
        <f>SUM(POP!P$65:P$67)</f>
        <v>3097</v>
      </c>
      <c r="G92" s="31">
        <f>SUM(POP!Q$65:Q$67)</f>
        <v>3207</v>
      </c>
      <c r="H92" s="31">
        <f>SUM(POP!R$65:R$67)</f>
        <v>3349</v>
      </c>
      <c r="I92" s="31">
        <f>SUM(POP!S$65:S$67)</f>
        <v>3487</v>
      </c>
      <c r="J92" s="31">
        <f>SUM(POP!T$65:T$67)</f>
        <v>3625</v>
      </c>
      <c r="K92" s="31">
        <f>SUM(POP!U$65:U$67)</f>
        <v>3765</v>
      </c>
      <c r="L92" s="31">
        <f>SUM(POP!V$65:V$67)</f>
        <v>3912</v>
      </c>
      <c r="M92" s="31">
        <f>SUM(POP!W$65:W$67)</f>
        <v>4105</v>
      </c>
      <c r="N92" s="31">
        <f>SUM(POP!X$65:X$67)</f>
        <v>4297</v>
      </c>
      <c r="O92" s="900">
        <f>SUM(POP!Y$65:Y$67)</f>
        <v>4490</v>
      </c>
    </row>
    <row r="93" spans="1:15" ht="15">
      <c r="A93" s="632" t="s">
        <v>74</v>
      </c>
      <c r="B93" s="269">
        <v>0</v>
      </c>
      <c r="C93" s="269">
        <v>0</v>
      </c>
      <c r="D93" s="269">
        <v>1</v>
      </c>
      <c r="E93" s="269">
        <v>1</v>
      </c>
      <c r="F93" s="269">
        <v>1</v>
      </c>
      <c r="G93" s="269">
        <v>1</v>
      </c>
      <c r="H93" s="269">
        <v>1</v>
      </c>
      <c r="I93" s="269">
        <v>1</v>
      </c>
      <c r="J93" s="269">
        <v>1</v>
      </c>
      <c r="K93" s="269">
        <v>1</v>
      </c>
      <c r="L93" s="269">
        <v>1</v>
      </c>
      <c r="M93" s="269">
        <v>1</v>
      </c>
      <c r="N93" s="269">
        <v>1</v>
      </c>
      <c r="O93" s="906">
        <v>1</v>
      </c>
    </row>
    <row r="94" spans="1:15" s="35" customFormat="1" ht="15">
      <c r="A94" s="632" t="s">
        <v>70</v>
      </c>
      <c r="B94" s="34">
        <f aca="true" t="shared" si="38" ref="B94:O94">B92*B93</f>
        <v>0</v>
      </c>
      <c r="C94" s="34">
        <f t="shared" si="38"/>
        <v>0</v>
      </c>
      <c r="D94" s="34">
        <f t="shared" si="38"/>
        <v>2873</v>
      </c>
      <c r="E94" s="34">
        <f t="shared" si="38"/>
        <v>2986</v>
      </c>
      <c r="F94" s="34">
        <f t="shared" si="38"/>
        <v>3097</v>
      </c>
      <c r="G94" s="34">
        <f t="shared" si="38"/>
        <v>3207</v>
      </c>
      <c r="H94" s="34">
        <f t="shared" si="38"/>
        <v>3349</v>
      </c>
      <c r="I94" s="34">
        <f t="shared" si="38"/>
        <v>3487</v>
      </c>
      <c r="J94" s="34">
        <f t="shared" si="38"/>
        <v>3625</v>
      </c>
      <c r="K94" s="34">
        <f t="shared" si="38"/>
        <v>3765</v>
      </c>
      <c r="L94" s="34">
        <f t="shared" si="38"/>
        <v>3912</v>
      </c>
      <c r="M94" s="34">
        <f t="shared" si="38"/>
        <v>4105</v>
      </c>
      <c r="N94" s="34">
        <f t="shared" si="38"/>
        <v>4297</v>
      </c>
      <c r="O94" s="819">
        <f t="shared" si="38"/>
        <v>4490</v>
      </c>
    </row>
    <row r="95" spans="1:15" s="35" customFormat="1" ht="15">
      <c r="A95" s="632"/>
      <c r="B95" s="280"/>
      <c r="C95" s="280"/>
      <c r="D95" s="280"/>
      <c r="E95" s="280"/>
      <c r="F95" s="280"/>
      <c r="G95" s="280"/>
      <c r="H95" s="280"/>
      <c r="I95" s="280"/>
      <c r="J95" s="280"/>
      <c r="K95" s="280"/>
      <c r="L95" s="280"/>
      <c r="M95" s="280"/>
      <c r="N95" s="280"/>
      <c r="O95" s="1033"/>
    </row>
    <row r="96" spans="1:15" ht="15">
      <c r="A96" s="632" t="s">
        <v>425</v>
      </c>
      <c r="B96" s="34">
        <f>750*12</f>
        <v>9000</v>
      </c>
      <c r="C96" s="34">
        <f aca="true" t="shared" si="39" ref="C96:H97">B96</f>
        <v>9000</v>
      </c>
      <c r="D96" s="34">
        <f t="shared" si="39"/>
        <v>9000</v>
      </c>
      <c r="E96" s="34">
        <f t="shared" si="39"/>
        <v>9000</v>
      </c>
      <c r="F96" s="34">
        <f t="shared" si="39"/>
        <v>9000</v>
      </c>
      <c r="G96" s="34">
        <f t="shared" si="39"/>
        <v>9000</v>
      </c>
      <c r="H96" s="34">
        <f t="shared" si="39"/>
        <v>9000</v>
      </c>
      <c r="I96" s="34">
        <f>(H96*(1+ECO!O10)*(1+ECO!P10)*(1+ECO!Q10)*(1+ECO!R10)*(1+ECO!S10))</f>
        <v>10586.060546135039</v>
      </c>
      <c r="J96" s="34">
        <f>I96</f>
        <v>10586.060546135039</v>
      </c>
      <c r="K96" s="34">
        <f aca="true" t="shared" si="40" ref="K96:O96">J96</f>
        <v>10586.060546135039</v>
      </c>
      <c r="L96" s="34">
        <f t="shared" si="40"/>
        <v>10586.060546135039</v>
      </c>
      <c r="M96" s="34">
        <f t="shared" si="40"/>
        <v>10586.060546135039</v>
      </c>
      <c r="N96" s="34">
        <f>(M96*(1+ECO!T10)*(1+ECO!U10)*(1+ECO!V10)*(1+ECO!W10)*(1+ECO!X10))</f>
        <v>12391.756190483193</v>
      </c>
      <c r="O96" s="819">
        <f t="shared" si="40"/>
        <v>12391.756190483193</v>
      </c>
    </row>
    <row r="97" spans="1:15" ht="15">
      <c r="A97" s="632" t="s">
        <v>619</v>
      </c>
      <c r="B97" s="34">
        <v>0</v>
      </c>
      <c r="C97" s="34">
        <f>B97</f>
        <v>0</v>
      </c>
      <c r="D97" s="34">
        <f t="shared" si="39"/>
        <v>0</v>
      </c>
      <c r="E97" s="34">
        <f t="shared" si="39"/>
        <v>0</v>
      </c>
      <c r="F97" s="34">
        <f t="shared" si="39"/>
        <v>0</v>
      </c>
      <c r="G97" s="34">
        <f t="shared" si="39"/>
        <v>0</v>
      </c>
      <c r="H97" s="34">
        <f t="shared" si="39"/>
        <v>0</v>
      </c>
      <c r="I97" s="34">
        <f aca="true" t="shared" si="41" ref="I97:O97">H97</f>
        <v>0</v>
      </c>
      <c r="J97" s="34">
        <f t="shared" si="41"/>
        <v>0</v>
      </c>
      <c r="K97" s="34">
        <f t="shared" si="41"/>
        <v>0</v>
      </c>
      <c r="L97" s="34">
        <f t="shared" si="41"/>
        <v>0</v>
      </c>
      <c r="M97" s="34">
        <f t="shared" si="41"/>
        <v>0</v>
      </c>
      <c r="N97" s="34">
        <f t="shared" si="41"/>
        <v>0</v>
      </c>
      <c r="O97" s="819">
        <f t="shared" si="41"/>
        <v>0</v>
      </c>
    </row>
    <row r="98" spans="1:15" ht="15">
      <c r="A98" s="632" t="s">
        <v>620</v>
      </c>
      <c r="B98" s="34">
        <f>B96-B97</f>
        <v>9000</v>
      </c>
      <c r="C98" s="34">
        <f aca="true" t="shared" si="42" ref="C98:O98">C96-C97</f>
        <v>9000</v>
      </c>
      <c r="D98" s="34">
        <f t="shared" si="42"/>
        <v>9000</v>
      </c>
      <c r="E98" s="34">
        <f t="shared" si="42"/>
        <v>9000</v>
      </c>
      <c r="F98" s="34">
        <f t="shared" si="42"/>
        <v>9000</v>
      </c>
      <c r="G98" s="34">
        <f t="shared" si="42"/>
        <v>9000</v>
      </c>
      <c r="H98" s="34">
        <f t="shared" si="42"/>
        <v>9000</v>
      </c>
      <c r="I98" s="34">
        <f t="shared" si="42"/>
        <v>10586.060546135039</v>
      </c>
      <c r="J98" s="34">
        <f t="shared" si="42"/>
        <v>10586.060546135039</v>
      </c>
      <c r="K98" s="34">
        <f t="shared" si="42"/>
        <v>10586.060546135039</v>
      </c>
      <c r="L98" s="34">
        <f t="shared" si="42"/>
        <v>10586.060546135039</v>
      </c>
      <c r="M98" s="34">
        <f t="shared" si="42"/>
        <v>10586.060546135039</v>
      </c>
      <c r="N98" s="34">
        <f t="shared" si="42"/>
        <v>12391.756190483193</v>
      </c>
      <c r="O98" s="819">
        <f t="shared" si="42"/>
        <v>12391.756190483193</v>
      </c>
    </row>
    <row r="99" spans="1:15" ht="15">
      <c r="A99" s="632"/>
      <c r="B99" s="34"/>
      <c r="C99" s="34"/>
      <c r="D99" s="34"/>
      <c r="E99" s="34"/>
      <c r="F99" s="34"/>
      <c r="G99" s="34"/>
      <c r="H99" s="34"/>
      <c r="I99" s="34"/>
      <c r="J99" s="34"/>
      <c r="K99" s="34"/>
      <c r="L99" s="34"/>
      <c r="M99" s="34"/>
      <c r="N99" s="34"/>
      <c r="O99" s="819"/>
    </row>
    <row r="100" spans="1:15" s="658" customFormat="1" ht="15">
      <c r="A100" s="987" t="s">
        <v>621</v>
      </c>
      <c r="B100" s="1043">
        <f>(B94*B98)/1000</f>
        <v>0</v>
      </c>
      <c r="C100" s="1043">
        <f aca="true" t="shared" si="43" ref="C100:N100">(C94*C98)/1000</f>
        <v>0</v>
      </c>
      <c r="D100" s="1043">
        <f t="shared" si="43"/>
        <v>25857</v>
      </c>
      <c r="E100" s="1043">
        <f t="shared" si="43"/>
        <v>26874</v>
      </c>
      <c r="F100" s="1043">
        <f t="shared" si="43"/>
        <v>27873</v>
      </c>
      <c r="G100" s="1043">
        <f t="shared" si="43"/>
        <v>28863</v>
      </c>
      <c r="H100" s="1043">
        <f t="shared" si="43"/>
        <v>30141</v>
      </c>
      <c r="I100" s="1043">
        <f t="shared" si="43"/>
        <v>36913.59312437288</v>
      </c>
      <c r="J100" s="1043">
        <f t="shared" si="43"/>
        <v>38374.46947973952</v>
      </c>
      <c r="K100" s="1043">
        <f t="shared" si="43"/>
        <v>39856.517956198426</v>
      </c>
      <c r="L100" s="1043">
        <f t="shared" si="43"/>
        <v>41412.66885648027</v>
      </c>
      <c r="M100" s="1043">
        <f t="shared" si="43"/>
        <v>43455.778541884334</v>
      </c>
      <c r="N100" s="1043">
        <f t="shared" si="43"/>
        <v>53247.376350506274</v>
      </c>
      <c r="O100" s="1045">
        <f>(O94*O98)/1000</f>
        <v>55638.98529526954</v>
      </c>
    </row>
    <row r="101" spans="1:15" s="35" customFormat="1" ht="15">
      <c r="A101" s="632"/>
      <c r="B101" s="34"/>
      <c r="C101" s="34"/>
      <c r="D101" s="34"/>
      <c r="E101" s="34"/>
      <c r="F101" s="34"/>
      <c r="G101" s="34"/>
      <c r="H101" s="34"/>
      <c r="I101" s="34"/>
      <c r="J101" s="34"/>
      <c r="K101" s="34"/>
      <c r="L101" s="34"/>
      <c r="M101" s="34"/>
      <c r="N101" s="34"/>
      <c r="O101" s="819"/>
    </row>
    <row r="102" spans="1:15" s="35" customFormat="1" ht="15">
      <c r="A102" s="632" t="s">
        <v>539</v>
      </c>
      <c r="B102" s="34">
        <f>B89+B100</f>
        <v>0</v>
      </c>
      <c r="C102" s="34">
        <f aca="true" t="shared" si="44" ref="C102:O102">C89+C100</f>
        <v>0</v>
      </c>
      <c r="D102" s="34">
        <f t="shared" si="44"/>
        <v>28303.72980612245</v>
      </c>
      <c r="E102" s="34">
        <f t="shared" si="44"/>
        <v>29398.502204081633</v>
      </c>
      <c r="F102" s="34">
        <f t="shared" si="44"/>
        <v>30478.826204081633</v>
      </c>
      <c r="G102" s="34">
        <f t="shared" si="44"/>
        <v>31553.092653061223</v>
      </c>
      <c r="H102" s="34">
        <f t="shared" si="44"/>
        <v>32903.181</v>
      </c>
      <c r="I102" s="34">
        <f t="shared" si="44"/>
        <v>41247.986391372186</v>
      </c>
      <c r="J102" s="34">
        <f t="shared" si="44"/>
        <v>42824.426839644344</v>
      </c>
      <c r="K102" s="34">
        <f t="shared" si="44"/>
        <v>44422.75960770066</v>
      </c>
      <c r="L102" s="34">
        <f t="shared" si="44"/>
        <v>46097.202511371856</v>
      </c>
      <c r="M102" s="34">
        <f t="shared" si="44"/>
        <v>48234.45606437692</v>
      </c>
      <c r="N102" s="34">
        <f t="shared" si="44"/>
        <v>60040.0076403101</v>
      </c>
      <c r="O102" s="819">
        <f t="shared" si="44"/>
        <v>62565.108739221614</v>
      </c>
    </row>
    <row r="103" spans="1:15" s="35" customFormat="1" ht="15">
      <c r="A103" s="632" t="s">
        <v>540</v>
      </c>
      <c r="B103" s="34"/>
      <c r="C103" s="34"/>
      <c r="D103" s="34">
        <f aca="true" t="shared" si="45" ref="D103:I103">D30*500*12/1000</f>
        <v>7681.266367346937</v>
      </c>
      <c r="E103" s="34">
        <f t="shared" si="45"/>
        <v>7921.7801632653045</v>
      </c>
      <c r="F103" s="34">
        <f t="shared" si="45"/>
        <v>8165.621571428569</v>
      </c>
      <c r="G103" s="34">
        <f t="shared" si="45"/>
        <v>8412.567428571427</v>
      </c>
      <c r="H103" s="34">
        <f t="shared" si="45"/>
        <v>8663.331857142857</v>
      </c>
      <c r="I103" s="34">
        <f t="shared" si="45"/>
        <v>8910.234734693875</v>
      </c>
      <c r="J103" s="34"/>
      <c r="K103" s="34"/>
      <c r="L103" s="34"/>
      <c r="M103" s="34"/>
      <c r="N103" s="34"/>
      <c r="O103" s="819"/>
    </row>
    <row r="104" spans="1:15" s="35" customFormat="1" ht="15">
      <c r="A104" s="632" t="s">
        <v>541</v>
      </c>
      <c r="B104" s="34">
        <f aca="true" t="shared" si="46" ref="B104:I104">B102-B103</f>
        <v>0</v>
      </c>
      <c r="C104" s="34">
        <f t="shared" si="46"/>
        <v>0</v>
      </c>
      <c r="D104" s="34">
        <f t="shared" si="46"/>
        <v>20622.463438775514</v>
      </c>
      <c r="E104" s="34">
        <f t="shared" si="46"/>
        <v>21476.722040816327</v>
      </c>
      <c r="F104" s="34">
        <f t="shared" si="46"/>
        <v>22313.204632653065</v>
      </c>
      <c r="G104" s="34">
        <f t="shared" si="46"/>
        <v>23140.525224489797</v>
      </c>
      <c r="H104" s="34">
        <f t="shared" si="46"/>
        <v>24239.84914285714</v>
      </c>
      <c r="I104" s="34">
        <f t="shared" si="46"/>
        <v>32337.75165667831</v>
      </c>
      <c r="J104" s="34"/>
      <c r="K104" s="34"/>
      <c r="L104" s="34"/>
      <c r="M104" s="34"/>
      <c r="N104" s="34"/>
      <c r="O104" s="819"/>
    </row>
    <row r="105" spans="1:15" s="35" customFormat="1" ht="15">
      <c r="A105" s="632" t="s">
        <v>542</v>
      </c>
      <c r="B105" s="34">
        <f>B102*7%</f>
        <v>0</v>
      </c>
      <c r="C105" s="34">
        <f aca="true" t="shared" si="47" ref="C105:O105">C102*7%</f>
        <v>0</v>
      </c>
      <c r="D105" s="34">
        <f t="shared" si="47"/>
        <v>1981.2610864285716</v>
      </c>
      <c r="E105" s="34">
        <f t="shared" si="47"/>
        <v>2057.8951542857144</v>
      </c>
      <c r="F105" s="34">
        <f t="shared" si="47"/>
        <v>2133.5178342857143</v>
      </c>
      <c r="G105" s="34">
        <f t="shared" si="47"/>
        <v>2208.7164857142857</v>
      </c>
      <c r="H105" s="34">
        <f t="shared" si="47"/>
        <v>2303.22267</v>
      </c>
      <c r="I105" s="34">
        <f t="shared" si="47"/>
        <v>2887.3590473960535</v>
      </c>
      <c r="J105" s="34">
        <f t="shared" si="47"/>
        <v>2997.7098787751042</v>
      </c>
      <c r="K105" s="34">
        <f t="shared" si="47"/>
        <v>3109.5931725390465</v>
      </c>
      <c r="L105" s="34">
        <f t="shared" si="47"/>
        <v>3226.80417579603</v>
      </c>
      <c r="M105" s="34">
        <f t="shared" si="47"/>
        <v>3376.411924506385</v>
      </c>
      <c r="N105" s="34">
        <f t="shared" si="47"/>
        <v>4202.8005348217075</v>
      </c>
      <c r="O105" s="819">
        <f t="shared" si="47"/>
        <v>4379.557611745513</v>
      </c>
    </row>
    <row r="106" spans="1:15" s="35" customFormat="1" ht="15">
      <c r="A106" s="632"/>
      <c r="B106" s="34"/>
      <c r="C106" s="34"/>
      <c r="D106" s="34"/>
      <c r="E106" s="34"/>
      <c r="F106" s="34"/>
      <c r="G106" s="34"/>
      <c r="H106" s="34"/>
      <c r="I106" s="34"/>
      <c r="J106" s="34"/>
      <c r="K106" s="34"/>
      <c r="L106" s="34"/>
      <c r="M106" s="34"/>
      <c r="N106" s="34"/>
      <c r="O106" s="819"/>
    </row>
    <row r="107" spans="1:15" ht="15">
      <c r="A107" s="633" t="s">
        <v>246</v>
      </c>
      <c r="B107" s="45">
        <f>B102+B105</f>
        <v>0</v>
      </c>
      <c r="C107" s="45">
        <f aca="true" t="shared" si="48" ref="C107:O107">C102+C105</f>
        <v>0</v>
      </c>
      <c r="D107" s="45">
        <f t="shared" si="48"/>
        <v>30284.99089255102</v>
      </c>
      <c r="E107" s="45">
        <f t="shared" si="48"/>
        <v>31456.397358367347</v>
      </c>
      <c r="F107" s="45">
        <f t="shared" si="48"/>
        <v>32612.344038367348</v>
      </c>
      <c r="G107" s="45">
        <f t="shared" si="48"/>
        <v>33761.80913877551</v>
      </c>
      <c r="H107" s="45">
        <f t="shared" si="48"/>
        <v>35206.40367</v>
      </c>
      <c r="I107" s="45">
        <f t="shared" si="48"/>
        <v>44135.345438768236</v>
      </c>
      <c r="J107" s="45">
        <f t="shared" si="48"/>
        <v>45822.136718419446</v>
      </c>
      <c r="K107" s="45">
        <f t="shared" si="48"/>
        <v>47532.35278023971</v>
      </c>
      <c r="L107" s="45">
        <f t="shared" si="48"/>
        <v>49324.00668716789</v>
      </c>
      <c r="M107" s="45">
        <f t="shared" si="48"/>
        <v>51610.86798888331</v>
      </c>
      <c r="N107" s="45">
        <f t="shared" si="48"/>
        <v>64242.8081751318</v>
      </c>
      <c r="O107" s="874">
        <f t="shared" si="48"/>
        <v>66944.66635096713</v>
      </c>
    </row>
    <row r="108" spans="1:15" ht="15">
      <c r="A108" s="633" t="s">
        <v>69</v>
      </c>
      <c r="B108" s="271">
        <f>B107/(ECO!L$66*1000)</f>
        <v>0</v>
      </c>
      <c r="C108" s="271">
        <f>C107/(ECO!M$66*1000)</f>
        <v>0</v>
      </c>
      <c r="D108" s="271">
        <f>D107/(ECO!N$66*1000)</f>
        <v>0.0018273789719363152</v>
      </c>
      <c r="E108" s="271">
        <f>E107/(ECO!O$66*1000)</f>
        <v>0.0017251461309286532</v>
      </c>
      <c r="F108" s="271">
        <f>F107/(ECO!P$66*1000)</f>
        <v>0.0016271255531937689</v>
      </c>
      <c r="G108" s="271">
        <f>G107/(ECO!Q$66*1000)</f>
        <v>0.0015342184004992264</v>
      </c>
      <c r="H108" s="271">
        <f>H107/(ECO!R$66*1000)</f>
        <v>0.001509305920521681</v>
      </c>
      <c r="I108" s="271">
        <f>I107/(ECO!S$66*1000)</f>
        <v>0.0017849920091454897</v>
      </c>
      <c r="J108" s="271">
        <f>J107/(ECO!T$66*1000)</f>
        <v>0.0017483131240364758</v>
      </c>
      <c r="K108" s="271">
        <f>K107/(ECO!U$66*1000)</f>
        <v>0.001710910640975913</v>
      </c>
      <c r="L108" s="271">
        <f>L107/(ECO!V$66*1000)</f>
        <v>0.0016749062314006433</v>
      </c>
      <c r="M108" s="271">
        <f>M107/(ECO!W$66*1000)</f>
        <v>0.0016533600827126603</v>
      </c>
      <c r="N108" s="271">
        <f>N107/(ECO!X$66*1000)</f>
        <v>0.0019415337142989707</v>
      </c>
      <c r="O108" s="968">
        <f>O107/(ECO!Y$66*1000)</f>
        <v>0.0019086686312614</v>
      </c>
    </row>
    <row r="109" spans="1:15" ht="15">
      <c r="A109" s="634" t="s">
        <v>71</v>
      </c>
      <c r="B109" s="1011">
        <f>B107/('GGO (SQ)'!L$24*1000)</f>
        <v>0</v>
      </c>
      <c r="C109" s="1011">
        <f>C107/('GGO (SQ)'!M$24*1000)</f>
        <v>0</v>
      </c>
      <c r="D109" s="1011">
        <f>D107/('GGO (SQ)'!N$24*1000)</f>
        <v>0.0116506280629341</v>
      </c>
      <c r="E109" s="1011">
        <f>E107/('GGO (SQ)'!O$24*1000)</f>
        <v>0.010998832882684615</v>
      </c>
      <c r="F109" s="1011">
        <f>F107/('GGO (SQ)'!P$24*1000)</f>
        <v>0.01037389338669546</v>
      </c>
      <c r="G109" s="1011">
        <f>G107/('GGO (SQ)'!Q$24*1000)</f>
        <v>0.00978155501734048</v>
      </c>
      <c r="H109" s="1011">
        <f>H107/('GGO (SQ)'!R$24*1000)</f>
        <v>0.00962272313692537</v>
      </c>
      <c r="I109" s="1011">
        <f>I107/('GGO (SQ)'!S$24*1000)</f>
        <v>0.011380385958927581</v>
      </c>
      <c r="J109" s="1011">
        <f>J107/('GGO (SQ)'!T$24*1000)</f>
        <v>0.011146536245906419</v>
      </c>
      <c r="K109" s="1011">
        <f>K107/('GGO (SQ)'!U$24*1000)</f>
        <v>0.010908073165472114</v>
      </c>
      <c r="L109" s="1011">
        <f>L107/('GGO (SQ)'!V$24*1000)</f>
        <v>0.010678523635227422</v>
      </c>
      <c r="M109" s="1011">
        <f>M107/('GGO (SQ)'!W$24*1000)</f>
        <v>0.010541154119430499</v>
      </c>
      <c r="N109" s="1011">
        <f>N107/('GGO (SQ)'!X$24*1000)</f>
        <v>0.01237843245672008</v>
      </c>
      <c r="O109" s="1012">
        <f>O107/('GGO (SQ)'!Y$24*1000)</f>
        <v>0.012168898000754194</v>
      </c>
    </row>
    <row r="110" spans="1:15" ht="12.75" customHeight="1">
      <c r="A110" s="1032"/>
      <c r="B110" s="282"/>
      <c r="C110" s="282"/>
      <c r="D110" s="282"/>
      <c r="E110" s="282"/>
      <c r="F110" s="282"/>
      <c r="G110" s="282"/>
      <c r="H110" s="282"/>
      <c r="I110" s="282"/>
      <c r="J110" s="282"/>
      <c r="K110" s="282"/>
      <c r="L110" s="282"/>
      <c r="M110" s="282"/>
      <c r="N110" s="282"/>
      <c r="O110" s="282"/>
    </row>
    <row r="111" spans="1:15" ht="15">
      <c r="A111" s="1132" t="s">
        <v>482</v>
      </c>
      <c r="B111" s="1133"/>
      <c r="C111" s="1133"/>
      <c r="D111" s="1133"/>
      <c r="E111" s="1133"/>
      <c r="F111" s="1133"/>
      <c r="G111" s="1133"/>
      <c r="H111" s="1133"/>
      <c r="I111" s="1133"/>
      <c r="J111" s="1133"/>
      <c r="K111" s="1133"/>
      <c r="L111" s="1133"/>
      <c r="M111" s="1133"/>
      <c r="N111" s="1133"/>
      <c r="O111" s="1134"/>
    </row>
    <row r="112" spans="1:15" ht="15">
      <c r="A112" s="632" t="s">
        <v>178</v>
      </c>
      <c r="B112" s="31">
        <f>SUM(POP!L$63:L$67)</f>
        <v>7321</v>
      </c>
      <c r="C112" s="31">
        <f>SUM(POP!M$63:M$67)</f>
        <v>7611</v>
      </c>
      <c r="D112" s="31">
        <f>SUM(POP!N$63:N$67)</f>
        <v>7916</v>
      </c>
      <c r="E112" s="31">
        <f>SUM(POP!O$63:O$67)</f>
        <v>8234</v>
      </c>
      <c r="F112" s="31">
        <f>SUM(POP!P$63:P$67)</f>
        <v>8561</v>
      </c>
      <c r="G112" s="31">
        <f>SUM(POP!Q$63:Q$67)</f>
        <v>8897</v>
      </c>
      <c r="H112" s="31">
        <f>SUM(POP!R$63:R$67)</f>
        <v>9243</v>
      </c>
      <c r="I112" s="28">
        <f>SUM(POP!S$63:S$67)</f>
        <v>9591</v>
      </c>
      <c r="J112" s="28">
        <f>SUM(POP!T$63:T$67)</f>
        <v>9948</v>
      </c>
      <c r="K112" s="28">
        <f>SUM(POP!U$63:U$67)</f>
        <v>10312</v>
      </c>
      <c r="L112" s="28">
        <f>SUM(POP!V$63:V$67)</f>
        <v>10690</v>
      </c>
      <c r="M112" s="28">
        <f>SUM(POP!W$63:W$67)</f>
        <v>11083</v>
      </c>
      <c r="N112" s="28">
        <f>SUM(POP!X$63:X$67)</f>
        <v>11480</v>
      </c>
      <c r="O112" s="29">
        <f>SUM(POP!Y$63:Y$67)</f>
        <v>11883</v>
      </c>
    </row>
    <row r="113" spans="1:15" ht="15">
      <c r="A113" s="632" t="s">
        <v>628</v>
      </c>
      <c r="B113" s="31">
        <f>B112*ECO!L59</f>
        <v>1204.1550918367348</v>
      </c>
      <c r="C113" s="31">
        <f>C112*ECO!M59</f>
        <v>1241.369632653061</v>
      </c>
      <c r="D113" s="31">
        <f>D112*ECO!N59</f>
        <v>1280.2110612244894</v>
      </c>
      <c r="E113" s="31">
        <f>E112*ECO!O59</f>
        <v>1320.2966938775508</v>
      </c>
      <c r="F113" s="31">
        <f>F112*ECO!P59</f>
        <v>1360.936928571428</v>
      </c>
      <c r="G113" s="31">
        <f>G112*ECO!Q59</f>
        <v>1402.094571428571</v>
      </c>
      <c r="H113" s="31">
        <f>H112*ECO!R59</f>
        <v>1443.8886428571427</v>
      </c>
      <c r="I113" s="31">
        <f>I112*ECO!S59</f>
        <v>1485.0391224489792</v>
      </c>
      <c r="J113" s="31">
        <f>J112*ECO!T59</f>
        <v>1526.6119591836732</v>
      </c>
      <c r="K113" s="31">
        <f>K112*ECO!U59</f>
        <v>1568.2657959183673</v>
      </c>
      <c r="L113" s="31">
        <f>L112*ECO!V59</f>
        <v>1611.026632653061</v>
      </c>
      <c r="M113" s="31">
        <f>M112*ECO!W59</f>
        <v>1654.98593877551</v>
      </c>
      <c r="N113" s="31">
        <f>N112*ECO!X59</f>
        <v>1698.4542857142856</v>
      </c>
      <c r="O113" s="900">
        <f>O112*ECO!Y59</f>
        <v>1741.7082857142857</v>
      </c>
    </row>
    <row r="114" spans="1:15" ht="15">
      <c r="A114" s="632"/>
      <c r="B114" s="31"/>
      <c r="C114" s="31"/>
      <c r="D114" s="31"/>
      <c r="E114" s="31"/>
      <c r="F114" s="31"/>
      <c r="G114" s="31"/>
      <c r="H114" s="31"/>
      <c r="I114" s="31"/>
      <c r="J114" s="31"/>
      <c r="K114" s="31"/>
      <c r="L114" s="31"/>
      <c r="M114" s="31"/>
      <c r="N114" s="31"/>
      <c r="O114" s="900"/>
    </row>
    <row r="115" spans="1:16" ht="12.75" customHeight="1">
      <c r="A115" s="632" t="s">
        <v>373</v>
      </c>
      <c r="B115" s="31">
        <f>B112*(100%-24.3%)</f>
        <v>5541.997</v>
      </c>
      <c r="C115" s="31">
        <f aca="true" t="shared" si="49" ref="C115:O115">C112*(100%-24.3%)</f>
        <v>5761.527</v>
      </c>
      <c r="D115" s="31">
        <f t="shared" si="49"/>
        <v>5992.412</v>
      </c>
      <c r="E115" s="31">
        <f t="shared" si="49"/>
        <v>6233.138</v>
      </c>
      <c r="F115" s="31">
        <f t="shared" si="49"/>
        <v>6480.677</v>
      </c>
      <c r="G115" s="31">
        <f t="shared" si="49"/>
        <v>6735.029</v>
      </c>
      <c r="H115" s="31">
        <f t="shared" si="49"/>
        <v>6996.951</v>
      </c>
      <c r="I115" s="31">
        <f t="shared" si="49"/>
        <v>7260.387</v>
      </c>
      <c r="J115" s="31">
        <f t="shared" si="49"/>
        <v>7530.636</v>
      </c>
      <c r="K115" s="31">
        <f t="shared" si="49"/>
        <v>7806.184</v>
      </c>
      <c r="L115" s="31">
        <f t="shared" si="49"/>
        <v>8092.33</v>
      </c>
      <c r="M115" s="31">
        <f t="shared" si="49"/>
        <v>8389.831</v>
      </c>
      <c r="N115" s="31">
        <f t="shared" si="49"/>
        <v>8690.36</v>
      </c>
      <c r="O115" s="900">
        <f t="shared" si="49"/>
        <v>8995.431</v>
      </c>
      <c r="P115" s="1149" t="s">
        <v>564</v>
      </c>
    </row>
    <row r="116" spans="1:16" s="35" customFormat="1" ht="15">
      <c r="A116" s="32" t="s">
        <v>74</v>
      </c>
      <c r="B116" s="268">
        <v>0</v>
      </c>
      <c r="C116" s="269">
        <v>0</v>
      </c>
      <c r="D116" s="269">
        <v>1</v>
      </c>
      <c r="E116" s="269">
        <v>1</v>
      </c>
      <c r="F116" s="269">
        <v>1</v>
      </c>
      <c r="G116" s="269">
        <v>1</v>
      </c>
      <c r="H116" s="269">
        <v>1</v>
      </c>
      <c r="I116" s="269">
        <v>1</v>
      </c>
      <c r="J116" s="269">
        <v>1</v>
      </c>
      <c r="K116" s="269">
        <v>1</v>
      </c>
      <c r="L116" s="269">
        <v>1</v>
      </c>
      <c r="M116" s="269">
        <v>1</v>
      </c>
      <c r="N116" s="269">
        <v>1</v>
      </c>
      <c r="O116" s="906">
        <v>1</v>
      </c>
      <c r="P116" s="1149"/>
    </row>
    <row r="117" spans="1:16" s="35" customFormat="1" ht="15">
      <c r="A117" s="32" t="s">
        <v>70</v>
      </c>
      <c r="B117" s="33">
        <f>B115*B116</f>
        <v>0</v>
      </c>
      <c r="C117" s="34">
        <f>C115*C116</f>
        <v>0</v>
      </c>
      <c r="D117" s="34">
        <f aca="true" t="shared" si="50" ref="D117:O117">D115*D116</f>
        <v>5992.412</v>
      </c>
      <c r="E117" s="34">
        <f t="shared" si="50"/>
        <v>6233.138</v>
      </c>
      <c r="F117" s="34">
        <f t="shared" si="50"/>
        <v>6480.677</v>
      </c>
      <c r="G117" s="34">
        <f t="shared" si="50"/>
        <v>6735.029</v>
      </c>
      <c r="H117" s="34">
        <f t="shared" si="50"/>
        <v>6996.951</v>
      </c>
      <c r="I117" s="34">
        <f t="shared" si="50"/>
        <v>7260.387</v>
      </c>
      <c r="J117" s="34">
        <f t="shared" si="50"/>
        <v>7530.636</v>
      </c>
      <c r="K117" s="34">
        <f t="shared" si="50"/>
        <v>7806.184</v>
      </c>
      <c r="L117" s="34">
        <f t="shared" si="50"/>
        <v>8092.33</v>
      </c>
      <c r="M117" s="34">
        <f t="shared" si="50"/>
        <v>8389.831</v>
      </c>
      <c r="N117" s="34">
        <f t="shared" si="50"/>
        <v>8690.36</v>
      </c>
      <c r="O117" s="819">
        <f t="shared" si="50"/>
        <v>8995.431</v>
      </c>
      <c r="P117" s="1149"/>
    </row>
    <row r="118" spans="1:16" s="35" customFormat="1" ht="15">
      <c r="A118" s="37"/>
      <c r="B118" s="263"/>
      <c r="C118" s="31"/>
      <c r="D118" s="31"/>
      <c r="E118" s="31"/>
      <c r="F118" s="31"/>
      <c r="G118" s="31"/>
      <c r="H118" s="31"/>
      <c r="I118" s="31"/>
      <c r="J118" s="31"/>
      <c r="K118" s="31"/>
      <c r="L118" s="31"/>
      <c r="M118" s="31"/>
      <c r="N118" s="31"/>
      <c r="O118" s="900"/>
      <c r="P118" s="1149"/>
    </row>
    <row r="119" spans="1:15" s="35" customFormat="1" ht="15">
      <c r="A119" s="32" t="s">
        <v>425</v>
      </c>
      <c r="B119" s="33">
        <f>750*12</f>
        <v>9000</v>
      </c>
      <c r="C119" s="34">
        <f aca="true" t="shared" si="51" ref="C119:H119">B119</f>
        <v>9000</v>
      </c>
      <c r="D119" s="34">
        <f t="shared" si="51"/>
        <v>9000</v>
      </c>
      <c r="E119" s="34">
        <f t="shared" si="51"/>
        <v>9000</v>
      </c>
      <c r="F119" s="34">
        <f t="shared" si="51"/>
        <v>9000</v>
      </c>
      <c r="G119" s="34">
        <f t="shared" si="51"/>
        <v>9000</v>
      </c>
      <c r="H119" s="34">
        <f t="shared" si="51"/>
        <v>9000</v>
      </c>
      <c r="I119" s="34">
        <f>(H119*(1+ECO!O10)*(1+ECO!P10)*(1+ECO!Q10)*(1+ECO!R10)*(1+ECO!S10))</f>
        <v>10586.060546135039</v>
      </c>
      <c r="J119" s="34">
        <f>I119</f>
        <v>10586.060546135039</v>
      </c>
      <c r="K119" s="34">
        <f aca="true" t="shared" si="52" ref="K119:O119">J119</f>
        <v>10586.060546135039</v>
      </c>
      <c r="L119" s="34">
        <f t="shared" si="52"/>
        <v>10586.060546135039</v>
      </c>
      <c r="M119" s="34">
        <f t="shared" si="52"/>
        <v>10586.060546135039</v>
      </c>
      <c r="N119" s="34">
        <f>(M119*(1+ECO!T10)*(1+ECO!U10)*(1+ECO!V10)*(1+ECO!W10)*(1+ECO!X10))</f>
        <v>12391.756190483193</v>
      </c>
      <c r="O119" s="819">
        <f t="shared" si="52"/>
        <v>12391.756190483193</v>
      </c>
    </row>
    <row r="120" spans="1:15" s="35" customFormat="1" ht="15">
      <c r="A120" s="32" t="s">
        <v>181</v>
      </c>
      <c r="B120" s="33">
        <f aca="true" t="shared" si="53" ref="B120:O120">B117*B119/1000</f>
        <v>0</v>
      </c>
      <c r="C120" s="34">
        <f t="shared" si="53"/>
        <v>0</v>
      </c>
      <c r="D120" s="34">
        <f t="shared" si="53"/>
        <v>53931.708</v>
      </c>
      <c r="E120" s="34">
        <f t="shared" si="53"/>
        <v>56098.242</v>
      </c>
      <c r="F120" s="34">
        <f t="shared" si="53"/>
        <v>58326.093</v>
      </c>
      <c r="G120" s="34">
        <f t="shared" si="53"/>
        <v>60615.261000000006</v>
      </c>
      <c r="H120" s="34">
        <f t="shared" si="53"/>
        <v>62972.559</v>
      </c>
      <c r="I120" s="34">
        <f t="shared" si="53"/>
        <v>76858.89637037173</v>
      </c>
      <c r="J120" s="34">
        <f t="shared" si="53"/>
        <v>79719.76864690418</v>
      </c>
      <c r="K120" s="34">
        <f t="shared" si="53"/>
        <v>82636.7364582706</v>
      </c>
      <c r="L120" s="34">
        <f t="shared" si="53"/>
        <v>85665.89533930496</v>
      </c>
      <c r="M120" s="34">
        <f t="shared" si="53"/>
        <v>88815.25893784068</v>
      </c>
      <c r="N120" s="34">
        <f t="shared" si="53"/>
        <v>107688.82232752752</v>
      </c>
      <c r="O120" s="819">
        <f t="shared" si="53"/>
        <v>111469.18778031443</v>
      </c>
    </row>
    <row r="121" spans="1:15" s="35" customFormat="1" ht="15">
      <c r="A121" s="632" t="s">
        <v>629</v>
      </c>
      <c r="B121" s="34">
        <v>0</v>
      </c>
      <c r="C121" s="34">
        <v>0</v>
      </c>
      <c r="D121" s="34">
        <f aca="true" t="shared" si="54" ref="D121:O121">D113*500*12/1000</f>
        <v>7681.266367346937</v>
      </c>
      <c r="E121" s="34">
        <f t="shared" si="54"/>
        <v>7921.7801632653045</v>
      </c>
      <c r="F121" s="34">
        <f t="shared" si="54"/>
        <v>8165.621571428569</v>
      </c>
      <c r="G121" s="34">
        <f t="shared" si="54"/>
        <v>8412.567428571427</v>
      </c>
      <c r="H121" s="34">
        <f t="shared" si="54"/>
        <v>8663.331857142857</v>
      </c>
      <c r="I121" s="34">
        <f t="shared" si="54"/>
        <v>8910.234734693875</v>
      </c>
      <c r="J121" s="34">
        <f t="shared" si="54"/>
        <v>9159.67175510204</v>
      </c>
      <c r="K121" s="34">
        <f t="shared" si="54"/>
        <v>9409.594775510202</v>
      </c>
      <c r="L121" s="34">
        <f t="shared" si="54"/>
        <v>9666.159795918364</v>
      </c>
      <c r="M121" s="34">
        <f t="shared" si="54"/>
        <v>9929.915632653061</v>
      </c>
      <c r="N121" s="34">
        <f t="shared" si="54"/>
        <v>10190.725714285712</v>
      </c>
      <c r="O121" s="819">
        <f t="shared" si="54"/>
        <v>10450.249714285714</v>
      </c>
    </row>
    <row r="122" spans="1:15" s="35" customFormat="1" ht="15">
      <c r="A122" s="632"/>
      <c r="B122" s="34"/>
      <c r="C122" s="34"/>
      <c r="D122" s="34"/>
      <c r="E122" s="34"/>
      <c r="F122" s="34"/>
      <c r="G122" s="34"/>
      <c r="H122" s="34"/>
      <c r="I122" s="34"/>
      <c r="J122" s="34"/>
      <c r="K122" s="34"/>
      <c r="L122" s="34"/>
      <c r="M122" s="34"/>
      <c r="N122" s="34"/>
      <c r="O122" s="819"/>
    </row>
    <row r="123" spans="1:15" s="658" customFormat="1" ht="15">
      <c r="A123" s="987" t="s">
        <v>621</v>
      </c>
      <c r="B123" s="1042">
        <f aca="true" t="shared" si="55" ref="B123:O123">B120-B121</f>
        <v>0</v>
      </c>
      <c r="C123" s="1043">
        <f t="shared" si="55"/>
        <v>0</v>
      </c>
      <c r="D123" s="1043">
        <f t="shared" si="55"/>
        <v>46250.44163265306</v>
      </c>
      <c r="E123" s="1043">
        <f t="shared" si="55"/>
        <v>48176.46183673469</v>
      </c>
      <c r="F123" s="1043">
        <f t="shared" si="55"/>
        <v>50160.47142857143</v>
      </c>
      <c r="G123" s="1043">
        <f t="shared" si="55"/>
        <v>52202.69357142858</v>
      </c>
      <c r="H123" s="1043">
        <f t="shared" si="55"/>
        <v>54309.22714285714</v>
      </c>
      <c r="I123" s="1043">
        <f t="shared" si="55"/>
        <v>67948.66163567785</v>
      </c>
      <c r="J123" s="1043">
        <f t="shared" si="55"/>
        <v>70560.09689180214</v>
      </c>
      <c r="K123" s="1043">
        <f t="shared" si="55"/>
        <v>73227.14168276041</v>
      </c>
      <c r="L123" s="1043">
        <f t="shared" si="55"/>
        <v>75999.7355433866</v>
      </c>
      <c r="M123" s="1043">
        <f t="shared" si="55"/>
        <v>78885.34330518762</v>
      </c>
      <c r="N123" s="1043">
        <f t="shared" si="55"/>
        <v>97498.09661324181</v>
      </c>
      <c r="O123" s="1045">
        <f t="shared" si="55"/>
        <v>101018.93806602871</v>
      </c>
    </row>
    <row r="124" spans="1:15" s="35" customFormat="1" ht="15">
      <c r="A124" s="32"/>
      <c r="B124" s="33"/>
      <c r="C124" s="34"/>
      <c r="D124" s="34"/>
      <c r="E124" s="34"/>
      <c r="F124" s="34"/>
      <c r="G124" s="34"/>
      <c r="H124" s="34"/>
      <c r="I124" s="34"/>
      <c r="J124" s="34"/>
      <c r="K124" s="34"/>
      <c r="L124" s="34"/>
      <c r="M124" s="34"/>
      <c r="N124" s="34"/>
      <c r="O124" s="819"/>
    </row>
    <row r="125" spans="1:15" s="35" customFormat="1" ht="15">
      <c r="A125" s="32" t="s">
        <v>86</v>
      </c>
      <c r="B125" s="33">
        <f>7%*B123</f>
        <v>0</v>
      </c>
      <c r="C125" s="34">
        <f aca="true" t="shared" si="56" ref="C125:O125">7%*C123</f>
        <v>0</v>
      </c>
      <c r="D125" s="34">
        <f t="shared" si="56"/>
        <v>3237.5309142857145</v>
      </c>
      <c r="E125" s="34">
        <f t="shared" si="56"/>
        <v>3372.3523285714286</v>
      </c>
      <c r="F125" s="34">
        <f t="shared" si="56"/>
        <v>3511.233</v>
      </c>
      <c r="G125" s="34">
        <f t="shared" si="56"/>
        <v>3654.1885500000008</v>
      </c>
      <c r="H125" s="34">
        <f t="shared" si="56"/>
        <v>3801.6459</v>
      </c>
      <c r="I125" s="34">
        <f t="shared" si="56"/>
        <v>4756.40631449745</v>
      </c>
      <c r="J125" s="34">
        <f t="shared" si="56"/>
        <v>4939.20678242615</v>
      </c>
      <c r="K125" s="34">
        <f t="shared" si="56"/>
        <v>5125.899917793229</v>
      </c>
      <c r="L125" s="34">
        <f t="shared" si="56"/>
        <v>5319.981488037063</v>
      </c>
      <c r="M125" s="34">
        <f t="shared" si="56"/>
        <v>5521.974031363134</v>
      </c>
      <c r="N125" s="34">
        <f>7%*N123</f>
        <v>6824.866762926928</v>
      </c>
      <c r="O125" s="819">
        <f t="shared" si="56"/>
        <v>7071.325664622011</v>
      </c>
    </row>
    <row r="126" spans="1:16" ht="15">
      <c r="A126" s="32"/>
      <c r="B126" s="33"/>
      <c r="C126" s="34"/>
      <c r="D126" s="34"/>
      <c r="E126" s="34"/>
      <c r="F126" s="34"/>
      <c r="G126" s="34"/>
      <c r="H126" s="34"/>
      <c r="I126" s="34"/>
      <c r="J126" s="34"/>
      <c r="K126" s="34"/>
      <c r="L126" s="34"/>
      <c r="M126" s="34"/>
      <c r="N126" s="34"/>
      <c r="O126" s="819"/>
      <c r="P126" s="758"/>
    </row>
    <row r="127" spans="1:15" ht="15">
      <c r="A127" s="633" t="s">
        <v>172</v>
      </c>
      <c r="B127" s="45">
        <f>B123+B125</f>
        <v>0</v>
      </c>
      <c r="C127" s="45">
        <f aca="true" t="shared" si="57" ref="C127:N127">C123+C125</f>
        <v>0</v>
      </c>
      <c r="D127" s="45">
        <f t="shared" si="57"/>
        <v>49487.97254693878</v>
      </c>
      <c r="E127" s="45">
        <f t="shared" si="57"/>
        <v>51548.81416530612</v>
      </c>
      <c r="F127" s="45">
        <f t="shared" si="57"/>
        <v>53671.70442857143</v>
      </c>
      <c r="G127" s="45">
        <f t="shared" si="57"/>
        <v>55856.88212142858</v>
      </c>
      <c r="H127" s="45">
        <f t="shared" si="57"/>
        <v>58110.87304285714</v>
      </c>
      <c r="I127" s="45">
        <f t="shared" si="57"/>
        <v>72705.0679501753</v>
      </c>
      <c r="J127" s="45">
        <f t="shared" si="57"/>
        <v>75499.30367422829</v>
      </c>
      <c r="K127" s="45">
        <f t="shared" si="57"/>
        <v>78353.04160055364</v>
      </c>
      <c r="L127" s="45">
        <f t="shared" si="57"/>
        <v>81319.71703142367</v>
      </c>
      <c r="M127" s="45">
        <f t="shared" si="57"/>
        <v>84407.31733655075</v>
      </c>
      <c r="N127" s="45">
        <f t="shared" si="57"/>
        <v>104322.96337616874</v>
      </c>
      <c r="O127" s="874">
        <f>O123+O125</f>
        <v>108090.26373065072</v>
      </c>
    </row>
    <row r="128" spans="1:15" ht="15">
      <c r="A128" s="43" t="s">
        <v>69</v>
      </c>
      <c r="B128" s="270">
        <f>B127/(ECO!L$66*1000)</f>
        <v>0</v>
      </c>
      <c r="C128" s="271">
        <f>C127/(ECO!M$66*1000)</f>
        <v>0</v>
      </c>
      <c r="D128" s="271">
        <f>D127/(ECO!N$66*1000)</f>
        <v>0.0029860758656619175</v>
      </c>
      <c r="E128" s="271">
        <f>E127/(ECO!O$66*1000)</f>
        <v>0.0028270636429884423</v>
      </c>
      <c r="F128" s="271">
        <f>F127/(ECO!P$66*1000)</f>
        <v>0.002677838847046694</v>
      </c>
      <c r="G128" s="271">
        <f>G127/(ECO!Q$66*1000)</f>
        <v>0.002538272045581503</v>
      </c>
      <c r="H128" s="271">
        <f>H127/(ECO!R$66*1000)</f>
        <v>0.0024912253336743058</v>
      </c>
      <c r="I128" s="271">
        <f>I127/(ECO!S$66*1000)</f>
        <v>0.0029404542782041202</v>
      </c>
      <c r="J128" s="271">
        <f>J127/(ECO!T$66*1000)</f>
        <v>0.002880625674014217</v>
      </c>
      <c r="K128" s="271">
        <f>K127/(ECO!U$66*1000)</f>
        <v>0.00282029070277677</v>
      </c>
      <c r="L128" s="271">
        <f>L127/(ECO!V$66*1000)</f>
        <v>0.0027613916617828826</v>
      </c>
      <c r="M128" s="271">
        <f>M127/(ECO!W$66*1000)</f>
        <v>0.0027039981037166984</v>
      </c>
      <c r="N128" s="271">
        <f>N127/(ECO!X$66*1000)</f>
        <v>0.0031528284071619017</v>
      </c>
      <c r="O128" s="968">
        <f>O127/(ECO!Y$66*1000)</f>
        <v>0.00308177644273948</v>
      </c>
    </row>
    <row r="129" spans="1:15" ht="15">
      <c r="A129" s="969" t="s">
        <v>71</v>
      </c>
      <c r="B129" s="970">
        <f>B127/('GGO (SQ)'!L$24*1000)</f>
        <v>0</v>
      </c>
      <c r="C129" s="964">
        <f>C127/('GGO (SQ)'!M$24*1000)</f>
        <v>0</v>
      </c>
      <c r="D129" s="964">
        <f>D127/('GGO (SQ)'!N$24*1000)</f>
        <v>0.019038010074980443</v>
      </c>
      <c r="E129" s="964">
        <f>E127/('GGO (SQ)'!O$24*1000)</f>
        <v>0.018024212558274813</v>
      </c>
      <c r="F129" s="964">
        <f>F127/('GGO (SQ)'!P$24*1000)</f>
        <v>0.01707281570957279</v>
      </c>
      <c r="G129" s="964">
        <f>G127/('GGO (SQ)'!Q$24*1000)</f>
        <v>0.016182994321247778</v>
      </c>
      <c r="H129" s="964">
        <f>H127/('GGO (SQ)'!R$24*1000)</f>
        <v>0.015883043544516463</v>
      </c>
      <c r="I129" s="964">
        <f>I127/('GGO (SQ)'!S$24*1000)</f>
        <v>0.018747145314427675</v>
      </c>
      <c r="J129" s="964">
        <f>J127/('GGO (SQ)'!T$24*1000)</f>
        <v>0.018365702370382812</v>
      </c>
      <c r="K129" s="964">
        <f>K127/('GGO (SQ)'!U$24*1000)</f>
        <v>0.017981031035169584</v>
      </c>
      <c r="L129" s="964">
        <f>L127/('GGO (SQ)'!V$24*1000)</f>
        <v>0.017605514609501088</v>
      </c>
      <c r="M129" s="964">
        <f>M127/('GGO (SQ)'!W$24*1000)</f>
        <v>0.01723959653311598</v>
      </c>
      <c r="N129" s="964">
        <f>N127/('GGO (SQ)'!X$24*1000)</f>
        <v>0.02010115672895923</v>
      </c>
      <c r="O129" s="971">
        <f>O127/('GGO (SQ)'!Y$24*1000)</f>
        <v>0.019648158186599235</v>
      </c>
    </row>
    <row r="131" spans="1:16" ht="29.25" customHeight="1">
      <c r="A131" s="1132" t="s">
        <v>483</v>
      </c>
      <c r="B131" s="1133"/>
      <c r="C131" s="1133"/>
      <c r="D131" s="1133"/>
      <c r="E131" s="1133"/>
      <c r="F131" s="1133"/>
      <c r="G131" s="1133"/>
      <c r="H131" s="1133"/>
      <c r="I131" s="1133"/>
      <c r="J131" s="1133"/>
      <c r="K131" s="1133"/>
      <c r="L131" s="1133"/>
      <c r="M131" s="1133"/>
      <c r="N131" s="1133"/>
      <c r="O131" s="1134"/>
      <c r="P131" s="899"/>
    </row>
    <row r="132" spans="1:15" ht="15">
      <c r="A132" s="632" t="s">
        <v>178</v>
      </c>
      <c r="B132" s="31">
        <f>SUM(POP!L$63:L$67)</f>
        <v>7321</v>
      </c>
      <c r="C132" s="31">
        <f>SUM(POP!M$63:M$67)</f>
        <v>7611</v>
      </c>
      <c r="D132" s="31">
        <f>SUM(POP!N$63:N$67)</f>
        <v>7916</v>
      </c>
      <c r="E132" s="31">
        <f>SUM(POP!O$63:O$67)</f>
        <v>8234</v>
      </c>
      <c r="F132" s="31">
        <f>SUM(POP!P$63:P$67)</f>
        <v>8561</v>
      </c>
      <c r="G132" s="31">
        <f>SUM(POP!Q$63:Q$67)</f>
        <v>8897</v>
      </c>
      <c r="H132" s="31">
        <f>SUM(POP!R$63:R$67)</f>
        <v>9243</v>
      </c>
      <c r="I132" s="28">
        <f>SUM(POP!S$63:S$67)</f>
        <v>9591</v>
      </c>
      <c r="J132" s="28">
        <f>SUM(POP!T$63:T$67)</f>
        <v>9948</v>
      </c>
      <c r="K132" s="28">
        <f>SUM(POP!U$63:U$67)</f>
        <v>10312</v>
      </c>
      <c r="L132" s="28">
        <f>SUM(POP!V$63:V$67)</f>
        <v>10690</v>
      </c>
      <c r="M132" s="28">
        <f>SUM(POP!W$63:W$67)</f>
        <v>11083</v>
      </c>
      <c r="N132" s="28">
        <f>SUM(POP!X$63:X$67)</f>
        <v>11480</v>
      </c>
      <c r="O132" s="29">
        <f>SUM(POP!Y$63:Y$67)</f>
        <v>11883</v>
      </c>
    </row>
    <row r="133" spans="1:15" ht="15">
      <c r="A133" s="632" t="s">
        <v>628</v>
      </c>
      <c r="B133" s="31">
        <f>B132*ECO!L59</f>
        <v>1204.1550918367348</v>
      </c>
      <c r="C133" s="31">
        <f>C132*ECO!M59</f>
        <v>1241.369632653061</v>
      </c>
      <c r="D133" s="31">
        <f>D132*ECO!N59</f>
        <v>1280.2110612244894</v>
      </c>
      <c r="E133" s="31">
        <f>E132*ECO!O59</f>
        <v>1320.2966938775508</v>
      </c>
      <c r="F133" s="31">
        <f>F132*ECO!P59</f>
        <v>1360.936928571428</v>
      </c>
      <c r="G133" s="31">
        <f>G132*ECO!Q59</f>
        <v>1402.094571428571</v>
      </c>
      <c r="H133" s="31">
        <f>H132*ECO!R59</f>
        <v>1443.8886428571427</v>
      </c>
      <c r="I133" s="31">
        <f>I132*ECO!S59</f>
        <v>1485.0391224489792</v>
      </c>
      <c r="J133" s="31">
        <f>J132*ECO!T59</f>
        <v>1526.6119591836732</v>
      </c>
      <c r="K133" s="31">
        <f>K132*ECO!U59</f>
        <v>1568.2657959183673</v>
      </c>
      <c r="L133" s="31">
        <f>L132*ECO!V59</f>
        <v>1611.026632653061</v>
      </c>
      <c r="M133" s="31">
        <f>M132*ECO!W59</f>
        <v>1654.98593877551</v>
      </c>
      <c r="N133" s="31">
        <f>N132*ECO!X59</f>
        <v>1698.4542857142856</v>
      </c>
      <c r="O133" s="900">
        <f>O132*ECO!Y59</f>
        <v>1741.7082857142857</v>
      </c>
    </row>
    <row r="134" spans="1:15" ht="15">
      <c r="A134" s="632"/>
      <c r="B134" s="31"/>
      <c r="C134" s="31"/>
      <c r="D134" s="31"/>
      <c r="E134" s="31"/>
      <c r="F134" s="31"/>
      <c r="G134" s="31"/>
      <c r="H134" s="31"/>
      <c r="I134" s="31"/>
      <c r="J134" s="31"/>
      <c r="K134" s="31"/>
      <c r="L134" s="31"/>
      <c r="M134" s="31"/>
      <c r="N134" s="31"/>
      <c r="O134" s="900"/>
    </row>
    <row r="135" spans="1:16" ht="15">
      <c r="A135" s="632" t="s">
        <v>373</v>
      </c>
      <c r="B135" s="31">
        <f>B132*(100%-24.3%)</f>
        <v>5541.997</v>
      </c>
      <c r="C135" s="31">
        <f aca="true" t="shared" si="58" ref="C135:O135">C132*(100%-24.3%)</f>
        <v>5761.527</v>
      </c>
      <c r="D135" s="31">
        <f t="shared" si="58"/>
        <v>5992.412</v>
      </c>
      <c r="E135" s="31">
        <f t="shared" si="58"/>
        <v>6233.138</v>
      </c>
      <c r="F135" s="31">
        <f t="shared" si="58"/>
        <v>6480.677</v>
      </c>
      <c r="G135" s="31">
        <f t="shared" si="58"/>
        <v>6735.029</v>
      </c>
      <c r="H135" s="31">
        <f t="shared" si="58"/>
        <v>6996.951</v>
      </c>
      <c r="I135" s="31">
        <f t="shared" si="58"/>
        <v>7260.387</v>
      </c>
      <c r="J135" s="31">
        <f t="shared" si="58"/>
        <v>7530.636</v>
      </c>
      <c r="K135" s="31">
        <f t="shared" si="58"/>
        <v>7806.184</v>
      </c>
      <c r="L135" s="31">
        <f t="shared" si="58"/>
        <v>8092.33</v>
      </c>
      <c r="M135" s="31">
        <f t="shared" si="58"/>
        <v>8389.831</v>
      </c>
      <c r="N135" s="31">
        <f t="shared" si="58"/>
        <v>8690.36</v>
      </c>
      <c r="O135" s="900">
        <f t="shared" si="58"/>
        <v>8995.431</v>
      </c>
      <c r="P135" s="1149" t="s">
        <v>564</v>
      </c>
    </row>
    <row r="136" spans="1:16" s="35" customFormat="1" ht="15">
      <c r="A136" s="32" t="s">
        <v>74</v>
      </c>
      <c r="B136" s="268">
        <v>0</v>
      </c>
      <c r="C136" s="269">
        <v>0</v>
      </c>
      <c r="D136" s="269">
        <v>1</v>
      </c>
      <c r="E136" s="269">
        <v>1</v>
      </c>
      <c r="F136" s="269">
        <v>1</v>
      </c>
      <c r="G136" s="269">
        <v>1</v>
      </c>
      <c r="H136" s="269">
        <v>1</v>
      </c>
      <c r="I136" s="269">
        <v>1</v>
      </c>
      <c r="J136" s="269">
        <v>1</v>
      </c>
      <c r="K136" s="269">
        <v>1</v>
      </c>
      <c r="L136" s="269">
        <v>1</v>
      </c>
      <c r="M136" s="269">
        <v>1</v>
      </c>
      <c r="N136" s="269">
        <v>1</v>
      </c>
      <c r="O136" s="906">
        <v>1</v>
      </c>
      <c r="P136" s="1149"/>
    </row>
    <row r="137" spans="1:16" s="35" customFormat="1" ht="15">
      <c r="A137" s="32" t="s">
        <v>70</v>
      </c>
      <c r="B137" s="33">
        <f>B135*B136</f>
        <v>0</v>
      </c>
      <c r="C137" s="34">
        <f>C135*C136</f>
        <v>0</v>
      </c>
      <c r="D137" s="34">
        <f aca="true" t="shared" si="59" ref="D137:O137">D135*D136</f>
        <v>5992.412</v>
      </c>
      <c r="E137" s="34">
        <f t="shared" si="59"/>
        <v>6233.138</v>
      </c>
      <c r="F137" s="34">
        <f t="shared" si="59"/>
        <v>6480.677</v>
      </c>
      <c r="G137" s="34">
        <f t="shared" si="59"/>
        <v>6735.029</v>
      </c>
      <c r="H137" s="34">
        <f t="shared" si="59"/>
        <v>6996.951</v>
      </c>
      <c r="I137" s="34">
        <f t="shared" si="59"/>
        <v>7260.387</v>
      </c>
      <c r="J137" s="34">
        <f t="shared" si="59"/>
        <v>7530.636</v>
      </c>
      <c r="K137" s="34">
        <f t="shared" si="59"/>
        <v>7806.184</v>
      </c>
      <c r="L137" s="34">
        <f t="shared" si="59"/>
        <v>8092.33</v>
      </c>
      <c r="M137" s="34">
        <f t="shared" si="59"/>
        <v>8389.831</v>
      </c>
      <c r="N137" s="34">
        <f t="shared" si="59"/>
        <v>8690.36</v>
      </c>
      <c r="O137" s="819">
        <f t="shared" si="59"/>
        <v>8995.431</v>
      </c>
      <c r="P137" s="1149"/>
    </row>
    <row r="138" spans="1:16" s="35" customFormat="1" ht="15">
      <c r="A138" s="37"/>
      <c r="B138" s="263"/>
      <c r="C138" s="31"/>
      <c r="D138" s="31"/>
      <c r="E138" s="31"/>
      <c r="F138" s="31"/>
      <c r="G138" s="31"/>
      <c r="H138" s="31"/>
      <c r="I138" s="31"/>
      <c r="J138" s="31"/>
      <c r="K138" s="31"/>
      <c r="L138" s="31"/>
      <c r="M138" s="31"/>
      <c r="N138" s="31"/>
      <c r="O138" s="900"/>
      <c r="P138" s="1149"/>
    </row>
    <row r="139" spans="1:15" s="35" customFormat="1" ht="15">
      <c r="A139" s="32" t="s">
        <v>425</v>
      </c>
      <c r="B139" s="33">
        <f>1000*12</f>
        <v>12000</v>
      </c>
      <c r="C139" s="34">
        <f aca="true" t="shared" si="60" ref="C139:H139">B139</f>
        <v>12000</v>
      </c>
      <c r="D139" s="34">
        <f t="shared" si="60"/>
        <v>12000</v>
      </c>
      <c r="E139" s="34">
        <f t="shared" si="60"/>
        <v>12000</v>
      </c>
      <c r="F139" s="34">
        <f t="shared" si="60"/>
        <v>12000</v>
      </c>
      <c r="G139" s="34">
        <f t="shared" si="60"/>
        <v>12000</v>
      </c>
      <c r="H139" s="34">
        <f t="shared" si="60"/>
        <v>12000</v>
      </c>
      <c r="I139" s="34">
        <f>(H139*(1+ECO!O10)*(1+ECO!P10)*(1+ECO!Q10)*(1+ECO!R10)*(1+ECO!S10))</f>
        <v>14114.74739484672</v>
      </c>
      <c r="J139" s="34">
        <f>I139</f>
        <v>14114.74739484672</v>
      </c>
      <c r="K139" s="34">
        <f aca="true" t="shared" si="61" ref="K139:O139">J139</f>
        <v>14114.74739484672</v>
      </c>
      <c r="L139" s="34">
        <f t="shared" si="61"/>
        <v>14114.74739484672</v>
      </c>
      <c r="M139" s="34">
        <f t="shared" si="61"/>
        <v>14114.74739484672</v>
      </c>
      <c r="N139" s="34">
        <f>(M139*(1+ECO!T10)*(1+ECO!U10)*(1+ECO!V10)*(1+ECO!W10)*(1+ECO!X10))</f>
        <v>16522.341587310922</v>
      </c>
      <c r="O139" s="819">
        <f t="shared" si="61"/>
        <v>16522.341587310922</v>
      </c>
    </row>
    <row r="140" spans="1:15" s="35" customFormat="1" ht="15">
      <c r="A140" s="32" t="s">
        <v>181</v>
      </c>
      <c r="B140" s="33">
        <f>B137*B139/1000</f>
        <v>0</v>
      </c>
      <c r="C140" s="34">
        <f aca="true" t="shared" si="62" ref="C140:O140">C137*C139/1000</f>
        <v>0</v>
      </c>
      <c r="D140" s="34">
        <f>D137*D139/1000</f>
        <v>71908.944</v>
      </c>
      <c r="E140" s="34">
        <f t="shared" si="62"/>
        <v>74797.656</v>
      </c>
      <c r="F140" s="34">
        <f t="shared" si="62"/>
        <v>77768.124</v>
      </c>
      <c r="G140" s="34">
        <f t="shared" si="62"/>
        <v>80820.348</v>
      </c>
      <c r="H140" s="34">
        <f t="shared" si="62"/>
        <v>83963.412</v>
      </c>
      <c r="I140" s="34">
        <f t="shared" si="62"/>
        <v>102478.52849382898</v>
      </c>
      <c r="J140" s="34">
        <f t="shared" si="62"/>
        <v>106293.02486253894</v>
      </c>
      <c r="K140" s="34">
        <f t="shared" si="62"/>
        <v>110182.31527769416</v>
      </c>
      <c r="L140" s="34">
        <f t="shared" si="62"/>
        <v>114221.19378573996</v>
      </c>
      <c r="M140" s="34">
        <f t="shared" si="62"/>
        <v>118420.34525045425</v>
      </c>
      <c r="N140" s="34">
        <f t="shared" si="62"/>
        <v>143585.09643670334</v>
      </c>
      <c r="O140" s="819">
        <f t="shared" si="62"/>
        <v>148625.58370708587</v>
      </c>
    </row>
    <row r="141" spans="1:15" s="35" customFormat="1" ht="15">
      <c r="A141" s="632" t="s">
        <v>629</v>
      </c>
      <c r="B141" s="33">
        <v>0</v>
      </c>
      <c r="C141" s="34">
        <v>0</v>
      </c>
      <c r="D141" s="34">
        <f>D133*500*12/1000</f>
        <v>7681.266367346937</v>
      </c>
      <c r="E141" s="34">
        <f aca="true" t="shared" si="63" ref="E141:O141">E133*500*12/1000</f>
        <v>7921.7801632653045</v>
      </c>
      <c r="F141" s="34">
        <f t="shared" si="63"/>
        <v>8165.621571428569</v>
      </c>
      <c r="G141" s="34">
        <f t="shared" si="63"/>
        <v>8412.567428571427</v>
      </c>
      <c r="H141" s="34">
        <f t="shared" si="63"/>
        <v>8663.331857142857</v>
      </c>
      <c r="I141" s="34">
        <f t="shared" si="63"/>
        <v>8910.234734693875</v>
      </c>
      <c r="J141" s="34">
        <f t="shared" si="63"/>
        <v>9159.67175510204</v>
      </c>
      <c r="K141" s="34">
        <f t="shared" si="63"/>
        <v>9409.594775510202</v>
      </c>
      <c r="L141" s="34">
        <f t="shared" si="63"/>
        <v>9666.159795918364</v>
      </c>
      <c r="M141" s="34">
        <f t="shared" si="63"/>
        <v>9929.915632653061</v>
      </c>
      <c r="N141" s="34">
        <f t="shared" si="63"/>
        <v>10190.725714285712</v>
      </c>
      <c r="O141" s="819">
        <f t="shared" si="63"/>
        <v>10450.249714285714</v>
      </c>
    </row>
    <row r="142" spans="1:15" s="35" customFormat="1" ht="15">
      <c r="A142" s="632"/>
      <c r="B142" s="33"/>
      <c r="C142" s="34"/>
      <c r="D142" s="34"/>
      <c r="E142" s="34"/>
      <c r="F142" s="34"/>
      <c r="G142" s="34"/>
      <c r="H142" s="34"/>
      <c r="I142" s="34"/>
      <c r="J142" s="34"/>
      <c r="K142" s="34"/>
      <c r="L142" s="34"/>
      <c r="M142" s="34"/>
      <c r="N142" s="34"/>
      <c r="O142" s="819"/>
    </row>
    <row r="143" spans="1:15" s="658" customFormat="1" ht="15">
      <c r="A143" s="987" t="s">
        <v>621</v>
      </c>
      <c r="B143" s="1042">
        <f>B140-B141</f>
        <v>0</v>
      </c>
      <c r="C143" s="1043">
        <f>C140-C141</f>
        <v>0</v>
      </c>
      <c r="D143" s="1043">
        <f>D140-D141</f>
        <v>64227.67763265307</v>
      </c>
      <c r="E143" s="1043">
        <f aca="true" t="shared" si="64" ref="E143:O143">E140-E141</f>
        <v>66875.8758367347</v>
      </c>
      <c r="F143" s="1043">
        <f t="shared" si="64"/>
        <v>69602.50242857143</v>
      </c>
      <c r="G143" s="1043">
        <f t="shared" si="64"/>
        <v>72407.78057142856</v>
      </c>
      <c r="H143" s="1043">
        <f t="shared" si="64"/>
        <v>75300.08014285714</v>
      </c>
      <c r="I143" s="1043">
        <f t="shared" si="64"/>
        <v>93568.29375913511</v>
      </c>
      <c r="J143" s="1043">
        <f t="shared" si="64"/>
        <v>97133.3531074369</v>
      </c>
      <c r="K143" s="1043">
        <f t="shared" si="64"/>
        <v>100772.72050218395</v>
      </c>
      <c r="L143" s="1043">
        <f t="shared" si="64"/>
        <v>104555.03398982159</v>
      </c>
      <c r="M143" s="1043">
        <f t="shared" si="64"/>
        <v>108490.42961780119</v>
      </c>
      <c r="N143" s="1043">
        <f t="shared" si="64"/>
        <v>133394.37072241763</v>
      </c>
      <c r="O143" s="1045">
        <f t="shared" si="64"/>
        <v>138175.33399280015</v>
      </c>
    </row>
    <row r="144" spans="1:15" s="658" customFormat="1" ht="15">
      <c r="A144" s="1041"/>
      <c r="B144" s="1042"/>
      <c r="C144" s="1043"/>
      <c r="D144" s="1043"/>
      <c r="E144" s="1043"/>
      <c r="F144" s="1043"/>
      <c r="G144" s="1043"/>
      <c r="H144" s="1043"/>
      <c r="I144" s="1043"/>
      <c r="J144" s="1043"/>
      <c r="K144" s="1043"/>
      <c r="L144" s="1043"/>
      <c r="M144" s="1043"/>
      <c r="N144" s="1043"/>
      <c r="O144" s="1045"/>
    </row>
    <row r="145" spans="1:15" s="35" customFormat="1" ht="15">
      <c r="A145" s="32" t="s">
        <v>86</v>
      </c>
      <c r="B145" s="33">
        <f>7%*B143</f>
        <v>0</v>
      </c>
      <c r="C145" s="34">
        <f aca="true" t="shared" si="65" ref="C145:N145">7%*C143</f>
        <v>0</v>
      </c>
      <c r="D145" s="34">
        <f t="shared" si="65"/>
        <v>4495.937434285715</v>
      </c>
      <c r="E145" s="34">
        <f t="shared" si="65"/>
        <v>4681.311308571429</v>
      </c>
      <c r="F145" s="34">
        <f t="shared" si="65"/>
        <v>4872.17517</v>
      </c>
      <c r="G145" s="34">
        <f t="shared" si="65"/>
        <v>5068.54464</v>
      </c>
      <c r="H145" s="34">
        <f t="shared" si="65"/>
        <v>5271.00561</v>
      </c>
      <c r="I145" s="34">
        <f t="shared" si="65"/>
        <v>6549.7805631394585</v>
      </c>
      <c r="J145" s="34">
        <f t="shared" si="65"/>
        <v>6799.334717520584</v>
      </c>
      <c r="K145" s="34">
        <f t="shared" si="65"/>
        <v>7054.090435152877</v>
      </c>
      <c r="L145" s="34">
        <f t="shared" si="65"/>
        <v>7318.852379287512</v>
      </c>
      <c r="M145" s="34">
        <f t="shared" si="65"/>
        <v>7594.330073246084</v>
      </c>
      <c r="N145" s="34">
        <f t="shared" si="65"/>
        <v>9337.605950569236</v>
      </c>
      <c r="O145" s="819">
        <f>7%*O143</f>
        <v>9672.273379496011</v>
      </c>
    </row>
    <row r="146" spans="1:16" ht="15">
      <c r="A146" s="32"/>
      <c r="B146" s="33"/>
      <c r="C146" s="34"/>
      <c r="D146" s="34"/>
      <c r="E146" s="34"/>
      <c r="F146" s="34"/>
      <c r="G146" s="34"/>
      <c r="H146" s="34"/>
      <c r="I146" s="34"/>
      <c r="J146" s="34"/>
      <c r="K146" s="34"/>
      <c r="L146" s="34"/>
      <c r="M146" s="34"/>
      <c r="N146" s="34"/>
      <c r="O146" s="819"/>
      <c r="P146" s="758"/>
    </row>
    <row r="147" spans="1:15" ht="15">
      <c r="A147" s="633" t="s">
        <v>289</v>
      </c>
      <c r="B147" s="45">
        <f>B143+B145</f>
        <v>0</v>
      </c>
      <c r="C147" s="45">
        <f>C143+C145</f>
        <v>0</v>
      </c>
      <c r="D147" s="45">
        <f aca="true" t="shared" si="66" ref="D147:O147">D143+D145</f>
        <v>68723.61506693879</v>
      </c>
      <c r="E147" s="45">
        <f t="shared" si="66"/>
        <v>71557.18714530613</v>
      </c>
      <c r="F147" s="45">
        <f t="shared" si="66"/>
        <v>74474.67759857143</v>
      </c>
      <c r="G147" s="45">
        <f t="shared" si="66"/>
        <v>77476.32521142857</v>
      </c>
      <c r="H147" s="45">
        <f t="shared" si="66"/>
        <v>80571.08575285715</v>
      </c>
      <c r="I147" s="45">
        <f t="shared" si="66"/>
        <v>100118.07432227457</v>
      </c>
      <c r="J147" s="45">
        <f t="shared" si="66"/>
        <v>103932.68782495748</v>
      </c>
      <c r="K147" s="45">
        <f t="shared" si="66"/>
        <v>107826.81093733682</v>
      </c>
      <c r="L147" s="45">
        <f t="shared" si="66"/>
        <v>111873.8863691091</v>
      </c>
      <c r="M147" s="45">
        <f t="shared" si="66"/>
        <v>116084.75969104726</v>
      </c>
      <c r="N147" s="45">
        <f t="shared" si="66"/>
        <v>142731.97667298687</v>
      </c>
      <c r="O147" s="874">
        <f t="shared" si="66"/>
        <v>147847.60737229616</v>
      </c>
    </row>
    <row r="148" spans="1:15" ht="15">
      <c r="A148" s="43" t="s">
        <v>69</v>
      </c>
      <c r="B148" s="270">
        <f>B147/(ECO!L$66*1000)</f>
        <v>0</v>
      </c>
      <c r="C148" s="271">
        <f>C147/(ECO!M$66*1000)</f>
        <v>0</v>
      </c>
      <c r="D148" s="271">
        <f>D147/(ECO!N$66*1000)</f>
        <v>0.004146743497276688</v>
      </c>
      <c r="E148" s="271">
        <f>E147/(ECO!O$66*1000)</f>
        <v>0.003924371985052695</v>
      </c>
      <c r="F148" s="271">
        <f>F147/(ECO!P$66*1000)</f>
        <v>0.0037157602300509057</v>
      </c>
      <c r="G148" s="271">
        <f>G147/(ECO!Q$66*1000)</f>
        <v>0.0035207119160542387</v>
      </c>
      <c r="H148" s="271">
        <f>H147/(ECO!R$66*1000)</f>
        <v>0.0034540993703730764</v>
      </c>
      <c r="I148" s="271">
        <f>I147/(ECO!S$66*1000)</f>
        <v>0.004049134788901335</v>
      </c>
      <c r="J148" s="271">
        <f>J147/(ECO!T$66*1000)</f>
        <v>0.003965482519013942</v>
      </c>
      <c r="K148" s="271">
        <f>K147/(ECO!U$66*1000)</f>
        <v>0.003881188862417956</v>
      </c>
      <c r="L148" s="271">
        <f>L147/(ECO!V$66*1000)</f>
        <v>0.0037989263645805274</v>
      </c>
      <c r="M148" s="271">
        <f>M147/(ECO!W$66*1000)</f>
        <v>0.0037187886071943185</v>
      </c>
      <c r="N148" s="271">
        <f>N147/(ECO!X$66*1000)</f>
        <v>0.004313618172849582</v>
      </c>
      <c r="O148" s="968">
        <f>O147/(ECO!Y$66*1000)</f>
        <v>0.004215303560094248</v>
      </c>
    </row>
    <row r="149" spans="1:15" ht="15">
      <c r="A149" s="969" t="s">
        <v>71</v>
      </c>
      <c r="B149" s="970">
        <f>B147/('GGO (SQ)'!L$24*1000)</f>
        <v>0</v>
      </c>
      <c r="C149" s="964">
        <f>C147/('GGO (SQ)'!M$24*1000)</f>
        <v>0</v>
      </c>
      <c r="D149" s="964">
        <f>D147/('GGO (SQ)'!N$24*1000)</f>
        <v>0.026437956713472006</v>
      </c>
      <c r="E149" s="964">
        <f>E147/('GGO (SQ)'!O$24*1000)</f>
        <v>0.02502020603312531</v>
      </c>
      <c r="F149" s="964">
        <f>F147/('GGO (SQ)'!P$24*1000)</f>
        <v>0.023690181990818182</v>
      </c>
      <c r="G149" s="964">
        <f>G147/('GGO (SQ)'!Q$24*1000)</f>
        <v>0.022446632953877232</v>
      </c>
      <c r="H149" s="964">
        <f>H147/('GGO (SQ)'!R$24*1000)</f>
        <v>0.022021938347025052</v>
      </c>
      <c r="I149" s="964">
        <f>I147/('GGO (SQ)'!S$24*1000)</f>
        <v>0.025815643129672994</v>
      </c>
      <c r="J149" s="964">
        <f>J147/('GGO (SQ)'!T$24*1000)</f>
        <v>0.025282310143989406</v>
      </c>
      <c r="K149" s="964">
        <f>K147/('GGO (SQ)'!U$24*1000)</f>
        <v>0.024744887936474398</v>
      </c>
      <c r="L149" s="964">
        <f>L147/('GGO (SQ)'!V$24*1000)</f>
        <v>0.024220415574391637</v>
      </c>
      <c r="M149" s="964">
        <f>M147/('GGO (SQ)'!W$24*1000)</f>
        <v>0.023709489696704063</v>
      </c>
      <c r="N149" s="964">
        <f>N147/('GGO (SQ)'!X$24*1000)</f>
        <v>0.027501882044823758</v>
      </c>
      <c r="O149" s="971">
        <f>O147/('GGO (SQ)'!Y$24*1000)</f>
        <v>0.026875067900656347</v>
      </c>
    </row>
    <row r="151" spans="1:16" ht="12.75" customHeight="1">
      <c r="A151" s="1117" t="s">
        <v>424</v>
      </c>
      <c r="B151" s="1118"/>
      <c r="C151" s="1118"/>
      <c r="D151" s="1118"/>
      <c r="E151" s="1118"/>
      <c r="F151" s="1118"/>
      <c r="G151" s="1118"/>
      <c r="H151" s="1118"/>
      <c r="I151" s="1118"/>
      <c r="J151" s="1118"/>
      <c r="K151" s="1118"/>
      <c r="L151" s="1118"/>
      <c r="M151" s="1118"/>
      <c r="N151" s="1118"/>
      <c r="O151" s="1119"/>
      <c r="P151" s="1148" t="s">
        <v>417</v>
      </c>
    </row>
    <row r="152" spans="1:16" ht="15">
      <c r="A152" s="644" t="s">
        <v>178</v>
      </c>
      <c r="B152" s="263">
        <f>SUM(POP!L$63:L$67)</f>
        <v>7321</v>
      </c>
      <c r="C152" s="31">
        <f>SUM(POP!M$63:M$67)</f>
        <v>7611</v>
      </c>
      <c r="D152" s="31">
        <f>SUM(POP!N$63:N$67)</f>
        <v>7916</v>
      </c>
      <c r="E152" s="31">
        <f>SUM(POP!O$63:O$67)</f>
        <v>8234</v>
      </c>
      <c r="F152" s="31">
        <f>SUM(POP!P$63:P$67)</f>
        <v>8561</v>
      </c>
      <c r="G152" s="31">
        <f>SUM(POP!Q$63:Q$67)</f>
        <v>8897</v>
      </c>
      <c r="H152" s="31">
        <f>SUM(POP!R$63:R$67)</f>
        <v>9243</v>
      </c>
      <c r="I152" s="28">
        <f>SUM(POP!S$63:S$67)</f>
        <v>9591</v>
      </c>
      <c r="J152" s="28">
        <f>SUM(POP!T$63:T$67)</f>
        <v>9948</v>
      </c>
      <c r="K152" s="28">
        <f>SUM(POP!U$63:U$67)</f>
        <v>10312</v>
      </c>
      <c r="L152" s="28">
        <f>SUM(POP!V$63:V$67)</f>
        <v>10690</v>
      </c>
      <c r="M152" s="28">
        <f>SUM(POP!W$63:W$67)</f>
        <v>11083</v>
      </c>
      <c r="N152" s="28">
        <f>SUM(POP!X$63:X$67)</f>
        <v>11480</v>
      </c>
      <c r="O152" s="29">
        <f>SUM(POP!Y$63:Y$67)</f>
        <v>11883</v>
      </c>
      <c r="P152" s="1148"/>
    </row>
    <row r="153" spans="1:16" ht="15">
      <c r="A153" s="632" t="s">
        <v>628</v>
      </c>
      <c r="B153" s="33">
        <f>B152*ECO!L59</f>
        <v>1204.1550918367348</v>
      </c>
      <c r="C153" s="34">
        <f>C152*ECO!M59</f>
        <v>1241.369632653061</v>
      </c>
      <c r="D153" s="34">
        <f>D152*ECO!N59</f>
        <v>1280.2110612244894</v>
      </c>
      <c r="E153" s="34">
        <f>E152*ECO!O59</f>
        <v>1320.2966938775508</v>
      </c>
      <c r="F153" s="34">
        <f>F152*ECO!P59</f>
        <v>1360.936928571428</v>
      </c>
      <c r="G153" s="34">
        <f>G152*ECO!Q59</f>
        <v>1402.094571428571</v>
      </c>
      <c r="H153" s="34">
        <f>H152*ECO!R59</f>
        <v>1443.8886428571427</v>
      </c>
      <c r="I153" s="34">
        <f>I152*ECO!S59</f>
        <v>1485.0391224489792</v>
      </c>
      <c r="J153" s="34">
        <f>J152*ECO!T59</f>
        <v>1526.6119591836732</v>
      </c>
      <c r="K153" s="34">
        <f>K152*ECO!U59</f>
        <v>1568.2657959183673</v>
      </c>
      <c r="L153" s="34">
        <f>L152*ECO!V59</f>
        <v>1611.026632653061</v>
      </c>
      <c r="M153" s="34">
        <f>M152*ECO!W59</f>
        <v>1654.98593877551</v>
      </c>
      <c r="N153" s="34">
        <f>N152*ECO!X59</f>
        <v>1698.4542857142856</v>
      </c>
      <c r="O153" s="819">
        <f>O152*ECO!Y59</f>
        <v>1741.7082857142857</v>
      </c>
      <c r="P153" s="1148"/>
    </row>
    <row r="154" spans="1:16" ht="15">
      <c r="A154" s="30"/>
      <c r="B154" s="263"/>
      <c r="C154" s="31"/>
      <c r="D154" s="31"/>
      <c r="E154" s="31"/>
      <c r="F154" s="31"/>
      <c r="G154" s="31"/>
      <c r="H154" s="31"/>
      <c r="I154" s="31"/>
      <c r="J154" s="31"/>
      <c r="K154" s="31"/>
      <c r="L154" s="31"/>
      <c r="M154" s="31"/>
      <c r="N154" s="31"/>
      <c r="O154" s="900"/>
      <c r="P154" s="1148"/>
    </row>
    <row r="155" spans="1:16" s="35" customFormat="1" ht="15">
      <c r="A155" s="32" t="s">
        <v>74</v>
      </c>
      <c r="B155" s="268">
        <v>0</v>
      </c>
      <c r="C155" s="269">
        <v>0</v>
      </c>
      <c r="D155" s="269">
        <v>1</v>
      </c>
      <c r="E155" s="269">
        <v>1</v>
      </c>
      <c r="F155" s="269">
        <v>1</v>
      </c>
      <c r="G155" s="269">
        <v>1</v>
      </c>
      <c r="H155" s="269">
        <v>1</v>
      </c>
      <c r="I155" s="269">
        <v>1</v>
      </c>
      <c r="J155" s="269">
        <v>1</v>
      </c>
      <c r="K155" s="269">
        <v>1</v>
      </c>
      <c r="L155" s="269">
        <v>1</v>
      </c>
      <c r="M155" s="269">
        <v>1</v>
      </c>
      <c r="N155" s="269">
        <v>1</v>
      </c>
      <c r="O155" s="906">
        <v>1</v>
      </c>
      <c r="P155" s="1148"/>
    </row>
    <row r="156" spans="1:15" s="35" customFormat="1" ht="15">
      <c r="A156" s="32" t="s">
        <v>70</v>
      </c>
      <c r="B156" s="33">
        <f>B152*B155</f>
        <v>0</v>
      </c>
      <c r="C156" s="34">
        <f aca="true" t="shared" si="67" ref="C156:O156">C152*C155</f>
        <v>0</v>
      </c>
      <c r="D156" s="34">
        <f t="shared" si="67"/>
        <v>7916</v>
      </c>
      <c r="E156" s="34">
        <f t="shared" si="67"/>
        <v>8234</v>
      </c>
      <c r="F156" s="34">
        <f t="shared" si="67"/>
        <v>8561</v>
      </c>
      <c r="G156" s="34">
        <f t="shared" si="67"/>
        <v>8897</v>
      </c>
      <c r="H156" s="34">
        <f t="shared" si="67"/>
        <v>9243</v>
      </c>
      <c r="I156" s="34">
        <f t="shared" si="67"/>
        <v>9591</v>
      </c>
      <c r="J156" s="34">
        <f t="shared" si="67"/>
        <v>9948</v>
      </c>
      <c r="K156" s="34">
        <f t="shared" si="67"/>
        <v>10312</v>
      </c>
      <c r="L156" s="34">
        <f t="shared" si="67"/>
        <v>10690</v>
      </c>
      <c r="M156" s="34">
        <f t="shared" si="67"/>
        <v>11083</v>
      </c>
      <c r="N156" s="34">
        <f t="shared" si="67"/>
        <v>11480</v>
      </c>
      <c r="O156" s="819">
        <f t="shared" si="67"/>
        <v>11883</v>
      </c>
    </row>
    <row r="157" spans="1:15" s="35" customFormat="1" ht="15">
      <c r="A157" s="37"/>
      <c r="B157" s="265"/>
      <c r="C157" s="38"/>
      <c r="D157" s="38"/>
      <c r="E157" s="38"/>
      <c r="F157" s="38"/>
      <c r="G157" s="38"/>
      <c r="H157" s="38"/>
      <c r="I157" s="38"/>
      <c r="J157" s="38"/>
      <c r="K157" s="38"/>
      <c r="L157" s="38"/>
      <c r="M157" s="38"/>
      <c r="N157" s="38"/>
      <c r="O157" s="989"/>
    </row>
    <row r="158" spans="1:15" s="35" customFormat="1" ht="15">
      <c r="A158" s="32" t="s">
        <v>425</v>
      </c>
      <c r="B158" s="33">
        <f>750*12</f>
        <v>9000</v>
      </c>
      <c r="C158" s="34">
        <f aca="true" t="shared" si="68" ref="C158:H158">750*12</f>
        <v>9000</v>
      </c>
      <c r="D158" s="34">
        <f t="shared" si="68"/>
        <v>9000</v>
      </c>
      <c r="E158" s="34">
        <f t="shared" si="68"/>
        <v>9000</v>
      </c>
      <c r="F158" s="34">
        <f t="shared" si="68"/>
        <v>9000</v>
      </c>
      <c r="G158" s="34">
        <f t="shared" si="68"/>
        <v>9000</v>
      </c>
      <c r="H158" s="34">
        <f t="shared" si="68"/>
        <v>9000</v>
      </c>
      <c r="I158" s="34">
        <f>(H158*(1+ECO!O10)*(1+ECO!P10)*(1+ECO!Q10)*(1+ECO!R10)*(1+ECO!S10))</f>
        <v>10586.060546135039</v>
      </c>
      <c r="J158" s="34">
        <f>I158</f>
        <v>10586.060546135039</v>
      </c>
      <c r="K158" s="34">
        <f aca="true" t="shared" si="69" ref="K158:O158">J158</f>
        <v>10586.060546135039</v>
      </c>
      <c r="L158" s="34">
        <f t="shared" si="69"/>
        <v>10586.060546135039</v>
      </c>
      <c r="M158" s="34">
        <f t="shared" si="69"/>
        <v>10586.060546135039</v>
      </c>
      <c r="N158" s="34">
        <f>(M158*(1+ECO!T10)*(1+ECO!U10)*(1+ECO!V10)*(1+ECO!W10)*(1+ECO!X10))</f>
        <v>12391.756190483193</v>
      </c>
      <c r="O158" s="819">
        <f t="shared" si="69"/>
        <v>12391.756190483193</v>
      </c>
    </row>
    <row r="159" spans="1:15" s="35" customFormat="1" ht="15">
      <c r="A159" s="32" t="s">
        <v>181</v>
      </c>
      <c r="B159" s="33">
        <f>(B156*B158)/1000</f>
        <v>0</v>
      </c>
      <c r="C159" s="34">
        <f aca="true" t="shared" si="70" ref="C159:O159">(C156*C158)/1000</f>
        <v>0</v>
      </c>
      <c r="D159" s="34">
        <f>(D156*D158)/1000</f>
        <v>71244</v>
      </c>
      <c r="E159" s="34">
        <f t="shared" si="70"/>
        <v>74106</v>
      </c>
      <c r="F159" s="34">
        <f t="shared" si="70"/>
        <v>77049</v>
      </c>
      <c r="G159" s="34">
        <f t="shared" si="70"/>
        <v>80073</v>
      </c>
      <c r="H159" s="34">
        <f t="shared" si="70"/>
        <v>83187</v>
      </c>
      <c r="I159" s="34">
        <f t="shared" si="70"/>
        <v>101530.90669798116</v>
      </c>
      <c r="J159" s="34">
        <f t="shared" si="70"/>
        <v>105310.13031295137</v>
      </c>
      <c r="K159" s="34">
        <f t="shared" si="70"/>
        <v>109163.45635174452</v>
      </c>
      <c r="L159" s="34">
        <f t="shared" si="70"/>
        <v>113164.98723818356</v>
      </c>
      <c r="M159" s="34">
        <f t="shared" si="70"/>
        <v>117325.30903281464</v>
      </c>
      <c r="N159" s="34">
        <f t="shared" si="70"/>
        <v>142257.36106674705</v>
      </c>
      <c r="O159" s="819">
        <f t="shared" si="70"/>
        <v>147251.23881151178</v>
      </c>
    </row>
    <row r="160" spans="1:15" s="35" customFormat="1" ht="15">
      <c r="A160" s="632" t="s">
        <v>629</v>
      </c>
      <c r="B160" s="33">
        <v>0</v>
      </c>
      <c r="C160" s="34">
        <v>0</v>
      </c>
      <c r="D160" s="34">
        <f aca="true" t="shared" si="71" ref="D160:O160">(500*12*D153)/1000</f>
        <v>7681.266367346937</v>
      </c>
      <c r="E160" s="34">
        <f t="shared" si="71"/>
        <v>7921.7801632653045</v>
      </c>
      <c r="F160" s="34">
        <f t="shared" si="71"/>
        <v>8165.621571428569</v>
      </c>
      <c r="G160" s="34">
        <f t="shared" si="71"/>
        <v>8412.567428571425</v>
      </c>
      <c r="H160" s="34">
        <f t="shared" si="71"/>
        <v>8663.331857142857</v>
      </c>
      <c r="I160" s="34">
        <f t="shared" si="71"/>
        <v>8910.234734693875</v>
      </c>
      <c r="J160" s="34">
        <f t="shared" si="71"/>
        <v>9159.67175510204</v>
      </c>
      <c r="K160" s="34">
        <f t="shared" si="71"/>
        <v>9409.594775510202</v>
      </c>
      <c r="L160" s="34">
        <f t="shared" si="71"/>
        <v>9666.159795918365</v>
      </c>
      <c r="M160" s="34">
        <f t="shared" si="71"/>
        <v>9929.91563265306</v>
      </c>
      <c r="N160" s="34">
        <f t="shared" si="71"/>
        <v>10190.725714285712</v>
      </c>
      <c r="O160" s="819">
        <f t="shared" si="71"/>
        <v>10450.249714285714</v>
      </c>
    </row>
    <row r="161" spans="1:15" s="35" customFormat="1" ht="15">
      <c r="A161" s="632"/>
      <c r="B161" s="33"/>
      <c r="C161" s="34"/>
      <c r="D161" s="34"/>
      <c r="E161" s="34"/>
      <c r="F161" s="34"/>
      <c r="G161" s="34"/>
      <c r="H161" s="34"/>
      <c r="I161" s="34"/>
      <c r="J161" s="34"/>
      <c r="K161" s="34"/>
      <c r="L161" s="34"/>
      <c r="M161" s="34"/>
      <c r="N161" s="34"/>
      <c r="O161" s="819"/>
    </row>
    <row r="162" spans="1:15" s="658" customFormat="1" ht="15">
      <c r="A162" s="987" t="s">
        <v>621</v>
      </c>
      <c r="B162" s="1043">
        <f aca="true" t="shared" si="72" ref="B162:C162">B159-B160</f>
        <v>0</v>
      </c>
      <c r="C162" s="1043">
        <f t="shared" si="72"/>
        <v>0</v>
      </c>
      <c r="D162" s="1043">
        <f>D159-D160</f>
        <v>63562.733632653064</v>
      </c>
      <c r="E162" s="1043">
        <f aca="true" t="shared" si="73" ref="E162:O162">E159-E160</f>
        <v>66184.2198367347</v>
      </c>
      <c r="F162" s="1043">
        <f t="shared" si="73"/>
        <v>68883.37842857144</v>
      </c>
      <c r="G162" s="1043">
        <f t="shared" si="73"/>
        <v>71660.43257142858</v>
      </c>
      <c r="H162" s="1043">
        <f t="shared" si="73"/>
        <v>74523.66814285715</v>
      </c>
      <c r="I162" s="1043">
        <f t="shared" si="73"/>
        <v>92620.67196328728</v>
      </c>
      <c r="J162" s="1043">
        <f t="shared" si="73"/>
        <v>96150.45855784933</v>
      </c>
      <c r="K162" s="1043">
        <f t="shared" si="73"/>
        <v>99753.86157623431</v>
      </c>
      <c r="L162" s="1043">
        <f t="shared" si="73"/>
        <v>103498.82744226519</v>
      </c>
      <c r="M162" s="1043">
        <f t="shared" si="73"/>
        <v>107395.39340016157</v>
      </c>
      <c r="N162" s="1043">
        <f t="shared" si="73"/>
        <v>132066.63535246134</v>
      </c>
      <c r="O162" s="1045">
        <f t="shared" si="73"/>
        <v>136800.98909722606</v>
      </c>
    </row>
    <row r="163" spans="1:15" s="35" customFormat="1" ht="15">
      <c r="A163" s="1041"/>
      <c r="B163" s="33"/>
      <c r="C163" s="34"/>
      <c r="D163" s="34"/>
      <c r="E163" s="34"/>
      <c r="F163" s="34"/>
      <c r="G163" s="34"/>
      <c r="H163" s="34"/>
      <c r="I163" s="34"/>
      <c r="J163" s="34"/>
      <c r="K163" s="34"/>
      <c r="L163" s="34"/>
      <c r="M163" s="34"/>
      <c r="N163" s="34"/>
      <c r="O163" s="819"/>
    </row>
    <row r="164" spans="1:15" s="35" customFormat="1" ht="15">
      <c r="A164" s="32" t="s">
        <v>86</v>
      </c>
      <c r="B164" s="33">
        <f aca="true" t="shared" si="74" ref="B164:O164">7%*B162</f>
        <v>0</v>
      </c>
      <c r="C164" s="34">
        <f t="shared" si="74"/>
        <v>0</v>
      </c>
      <c r="D164" s="34">
        <f t="shared" si="74"/>
        <v>4449.391354285715</v>
      </c>
      <c r="E164" s="34">
        <f t="shared" si="74"/>
        <v>4632.895388571429</v>
      </c>
      <c r="F164" s="34">
        <f t="shared" si="74"/>
        <v>4821.836490000001</v>
      </c>
      <c r="G164" s="34">
        <f t="shared" si="74"/>
        <v>5016.230280000001</v>
      </c>
      <c r="H164" s="34">
        <f t="shared" si="74"/>
        <v>5216.6567700000005</v>
      </c>
      <c r="I164" s="34">
        <f t="shared" si="74"/>
        <v>6483.447037430111</v>
      </c>
      <c r="J164" s="34">
        <f t="shared" si="74"/>
        <v>6730.532099049454</v>
      </c>
      <c r="K164" s="34">
        <f t="shared" si="74"/>
        <v>6982.770310336402</v>
      </c>
      <c r="L164" s="34">
        <f t="shared" si="74"/>
        <v>7244.917920958564</v>
      </c>
      <c r="M164" s="34">
        <f t="shared" si="74"/>
        <v>7517.67753801131</v>
      </c>
      <c r="N164" s="34">
        <f t="shared" si="74"/>
        <v>9244.664474672294</v>
      </c>
      <c r="O164" s="819">
        <f t="shared" si="74"/>
        <v>9576.069236805824</v>
      </c>
    </row>
    <row r="165" spans="1:15" ht="15">
      <c r="A165" s="32"/>
      <c r="B165" s="33"/>
      <c r="C165" s="34"/>
      <c r="D165" s="34"/>
      <c r="E165" s="34"/>
      <c r="F165" s="34"/>
      <c r="G165" s="34"/>
      <c r="H165" s="34"/>
      <c r="I165" s="34"/>
      <c r="J165" s="34"/>
      <c r="K165" s="34"/>
      <c r="L165" s="34"/>
      <c r="M165" s="34"/>
      <c r="N165" s="34"/>
      <c r="O165" s="819"/>
    </row>
    <row r="166" spans="1:15" ht="15">
      <c r="A166" s="43" t="s">
        <v>290</v>
      </c>
      <c r="B166" s="45">
        <f>B162+B164</f>
        <v>0</v>
      </c>
      <c r="C166" s="45">
        <f aca="true" t="shared" si="75" ref="C166:O166">C162+C164</f>
        <v>0</v>
      </c>
      <c r="D166" s="45">
        <f t="shared" si="75"/>
        <v>68012.12498693878</v>
      </c>
      <c r="E166" s="45">
        <f t="shared" si="75"/>
        <v>70817.11522530613</v>
      </c>
      <c r="F166" s="45">
        <f t="shared" si="75"/>
        <v>73705.21491857144</v>
      </c>
      <c r="G166" s="45">
        <f t="shared" si="75"/>
        <v>76676.66285142858</v>
      </c>
      <c r="H166" s="45">
        <f t="shared" si="75"/>
        <v>79740.32491285715</v>
      </c>
      <c r="I166" s="45">
        <f t="shared" si="75"/>
        <v>99104.1190007174</v>
      </c>
      <c r="J166" s="45">
        <f t="shared" si="75"/>
        <v>102880.99065689878</v>
      </c>
      <c r="K166" s="45">
        <f t="shared" si="75"/>
        <v>106736.63188657071</v>
      </c>
      <c r="L166" s="45">
        <f t="shared" si="75"/>
        <v>110743.74536322374</v>
      </c>
      <c r="M166" s="45">
        <f t="shared" si="75"/>
        <v>114913.07093817288</v>
      </c>
      <c r="N166" s="45">
        <f t="shared" si="75"/>
        <v>141311.29982713363</v>
      </c>
      <c r="O166" s="874">
        <f t="shared" si="75"/>
        <v>146377.0583340319</v>
      </c>
    </row>
    <row r="167" spans="1:15" ht="15">
      <c r="A167" s="43" t="s">
        <v>69</v>
      </c>
      <c r="B167" s="270">
        <f>B166/(ECO!L$66*1000)</f>
        <v>0</v>
      </c>
      <c r="C167" s="271">
        <f>C166/(ECO!M$66*1000)</f>
        <v>0</v>
      </c>
      <c r="D167" s="271">
        <f>D166/(ECO!N$66*1000)</f>
        <v>0.004103812594125811</v>
      </c>
      <c r="E167" s="271">
        <f>E166/(ECO!O$66*1000)</f>
        <v>0.0038837846223343346</v>
      </c>
      <c r="F167" s="271">
        <f>F166/(ECO!P$66*1000)</f>
        <v>0.003677369478764092</v>
      </c>
      <c r="G167" s="271">
        <f>G166/(ECO!Q$66*1000)</f>
        <v>0.003484373321109409</v>
      </c>
      <c r="H167" s="271">
        <f>H166/(ECO!R$66*1000)</f>
        <v>0.0034184844786589873</v>
      </c>
      <c r="I167" s="271">
        <f>I166/(ECO!S$66*1000)</f>
        <v>0.004008126791147674</v>
      </c>
      <c r="J167" s="271">
        <f>J166/(ECO!T$66*1000)</f>
        <v>0.003925355713650675</v>
      </c>
      <c r="K167" s="271">
        <f>K166/(ECO!U$66*1000)</f>
        <v>0.0038419482435672904</v>
      </c>
      <c r="L167" s="271">
        <f>L166/(ECO!V$66*1000)</f>
        <v>0.0037605499158641013</v>
      </c>
      <c r="M167" s="271">
        <f>M166/(ECO!W$66*1000)</f>
        <v>0.003681253423446137</v>
      </c>
      <c r="N167" s="271">
        <f>N166/(ECO!X$66*1000)</f>
        <v>0.004270682752190064</v>
      </c>
      <c r="O167" s="968">
        <f>O166/(ECO!Y$66*1000)</f>
        <v>0.004173376533296451</v>
      </c>
    </row>
    <row r="168" spans="1:15" ht="15">
      <c r="A168" s="969" t="s">
        <v>71</v>
      </c>
      <c r="B168" s="970">
        <f>B166/('GGO (SQ)'!L$24*1000)</f>
        <v>0</v>
      </c>
      <c r="C168" s="964">
        <f>C166/('GGO (SQ)'!M$24*1000)</f>
        <v>0</v>
      </c>
      <c r="D168" s="964">
        <f>D166/('GGO (SQ)'!N$24*1000)</f>
        <v>0.026164246666077334</v>
      </c>
      <c r="E168" s="964">
        <f>E166/('GGO (SQ)'!O$24*1000)</f>
        <v>0.024761437450171793</v>
      </c>
      <c r="F168" s="964">
        <f>F166/('GGO (SQ)'!P$24*1000)</f>
        <v>0.023445418112515843</v>
      </c>
      <c r="G168" s="964">
        <f>G166/('GGO (SQ)'!Q$24*1000)</f>
        <v>0.022214952793093056</v>
      </c>
      <c r="H168" s="964">
        <f>H166/('GGO (SQ)'!R$24*1000)</f>
        <v>0.0217948722248715</v>
      </c>
      <c r="I168" s="964">
        <f>I166/('GGO (SQ)'!S$24*1000)</f>
        <v>0.025554192748131557</v>
      </c>
      <c r="J168" s="964">
        <f>J166/('GGO (SQ)'!T$24*1000)</f>
        <v>0.025026477888162472</v>
      </c>
      <c r="K168" s="964">
        <f>K166/('GGO (SQ)'!U$24*1000)</f>
        <v>0.024494705646862062</v>
      </c>
      <c r="L168" s="964">
        <f>L166/('GGO (SQ)'!V$24*1000)</f>
        <v>0.023975742883484186</v>
      </c>
      <c r="M168" s="964">
        <f>M166/('GGO (SQ)'!W$24*1000)</f>
        <v>0.02347018057044189</v>
      </c>
      <c r="N168" s="964">
        <f>N166/('GGO (SQ)'!X$24*1000)</f>
        <v>0.027228143195624013</v>
      </c>
      <c r="O168" s="971">
        <f>O166/('GGO (SQ)'!Y$24*1000)</f>
        <v>0.026607758162223594</v>
      </c>
    </row>
    <row r="170" spans="1:16" ht="12.75" customHeight="1">
      <c r="A170" s="1117" t="s">
        <v>641</v>
      </c>
      <c r="B170" s="1118"/>
      <c r="C170" s="1118"/>
      <c r="D170" s="1118"/>
      <c r="E170" s="1118"/>
      <c r="F170" s="1118"/>
      <c r="G170" s="1118"/>
      <c r="H170" s="1118"/>
      <c r="I170" s="1118"/>
      <c r="J170" s="1118"/>
      <c r="K170" s="1118"/>
      <c r="L170" s="1118"/>
      <c r="M170" s="1118"/>
      <c r="N170" s="1118"/>
      <c r="O170" s="1119"/>
      <c r="P170" s="1148" t="s">
        <v>417</v>
      </c>
    </row>
    <row r="171" spans="1:16" ht="15">
      <c r="A171" s="644" t="s">
        <v>631</v>
      </c>
      <c r="B171" s="263">
        <f>SUM(POP!L$63:L$67)</f>
        <v>7321</v>
      </c>
      <c r="C171" s="31">
        <f>SUM(POP!M$63:M$67)</f>
        <v>7611</v>
      </c>
      <c r="D171" s="31">
        <f>SUM(POP!N$63:N$67)</f>
        <v>7916</v>
      </c>
      <c r="E171" s="31">
        <f>SUM(POP!O$63:O$67)</f>
        <v>8234</v>
      </c>
      <c r="F171" s="31">
        <f>SUM(POP!P$63:P$67)</f>
        <v>8561</v>
      </c>
      <c r="G171" s="31">
        <f>SUM(POP!Q$63:Q$67)</f>
        <v>8897</v>
      </c>
      <c r="H171" s="31">
        <f>SUM(POP!R$63:R$67)</f>
        <v>9243</v>
      </c>
      <c r="I171" s="28">
        <f>SUM(POP!S$63:S$67)</f>
        <v>9591</v>
      </c>
      <c r="J171" s="28">
        <f>SUM(POP!T$63:T$67)</f>
        <v>9948</v>
      </c>
      <c r="K171" s="28">
        <f>SUM(POP!U$63:U$67)</f>
        <v>10312</v>
      </c>
      <c r="L171" s="28">
        <f>SUM(POP!V$63:V$67)</f>
        <v>10690</v>
      </c>
      <c r="M171" s="28">
        <f>SUM(POP!W$63:W$67)</f>
        <v>11083</v>
      </c>
      <c r="N171" s="28">
        <f>SUM(POP!X$63:X$67)</f>
        <v>11480</v>
      </c>
      <c r="O171" s="29">
        <f>SUM(POP!Y$63:Y$67)</f>
        <v>11883</v>
      </c>
      <c r="P171" s="1148"/>
    </row>
    <row r="172" spans="1:16" ht="15">
      <c r="A172" s="632" t="s">
        <v>630</v>
      </c>
      <c r="B172" s="33">
        <f>B171*ECO!L59</f>
        <v>1204.1550918367348</v>
      </c>
      <c r="C172" s="34">
        <f>C171*ECO!M59</f>
        <v>1241.369632653061</v>
      </c>
      <c r="D172" s="34">
        <f>D171*ECO!N59</f>
        <v>1280.2110612244894</v>
      </c>
      <c r="E172" s="34">
        <f>E171*ECO!O59</f>
        <v>1320.2966938775508</v>
      </c>
      <c r="F172" s="34">
        <f>F171*ECO!P59</f>
        <v>1360.936928571428</v>
      </c>
      <c r="G172" s="34">
        <f>G171*ECO!Q59</f>
        <v>1402.094571428571</v>
      </c>
      <c r="H172" s="34">
        <f>H171*ECO!R59</f>
        <v>1443.8886428571427</v>
      </c>
      <c r="I172" s="34">
        <f>I171*ECO!S59</f>
        <v>1485.0391224489792</v>
      </c>
      <c r="J172" s="34">
        <f>J171*ECO!T59</f>
        <v>1526.6119591836732</v>
      </c>
      <c r="K172" s="34">
        <f>K171*ECO!U59</f>
        <v>1568.2657959183673</v>
      </c>
      <c r="L172" s="34">
        <f>L171*ECO!V59</f>
        <v>1611.026632653061</v>
      </c>
      <c r="M172" s="34">
        <f>M171*ECO!W59</f>
        <v>1654.98593877551</v>
      </c>
      <c r="N172" s="34">
        <f>N171*ECO!X59</f>
        <v>1698.4542857142856</v>
      </c>
      <c r="O172" s="819">
        <f>O171*ECO!Y59</f>
        <v>1741.7082857142857</v>
      </c>
      <c r="P172" s="1148"/>
    </row>
    <row r="173" spans="1:16" ht="15">
      <c r="A173" s="30"/>
      <c r="B173" s="263"/>
      <c r="C173" s="31"/>
      <c r="D173" s="31"/>
      <c r="E173" s="31"/>
      <c r="F173" s="31"/>
      <c r="G173" s="31"/>
      <c r="H173" s="31"/>
      <c r="I173" s="31"/>
      <c r="J173" s="31"/>
      <c r="K173" s="31"/>
      <c r="L173" s="31"/>
      <c r="M173" s="31"/>
      <c r="N173" s="31"/>
      <c r="O173" s="900"/>
      <c r="P173" s="1148"/>
    </row>
    <row r="174" spans="1:16" s="35" customFormat="1" ht="15">
      <c r="A174" s="32" t="s">
        <v>74</v>
      </c>
      <c r="B174" s="268">
        <v>0</v>
      </c>
      <c r="C174" s="269">
        <v>0</v>
      </c>
      <c r="D174" s="269">
        <v>1</v>
      </c>
      <c r="E174" s="269">
        <v>1</v>
      </c>
      <c r="F174" s="269">
        <v>1</v>
      </c>
      <c r="G174" s="269">
        <v>1</v>
      </c>
      <c r="H174" s="269">
        <v>1</v>
      </c>
      <c r="I174" s="269">
        <v>1</v>
      </c>
      <c r="J174" s="269">
        <v>1</v>
      </c>
      <c r="K174" s="269">
        <v>1</v>
      </c>
      <c r="L174" s="269">
        <v>1</v>
      </c>
      <c r="M174" s="269">
        <v>1</v>
      </c>
      <c r="N174" s="269">
        <v>1</v>
      </c>
      <c r="O174" s="906">
        <v>1</v>
      </c>
      <c r="P174" s="1148"/>
    </row>
    <row r="175" spans="1:15" s="35" customFormat="1" ht="15">
      <c r="A175" s="32" t="s">
        <v>70</v>
      </c>
      <c r="B175" s="33">
        <f>B171*B174</f>
        <v>0</v>
      </c>
      <c r="C175" s="34">
        <f aca="true" t="shared" si="76" ref="C175:O175">C171*C174</f>
        <v>0</v>
      </c>
      <c r="D175" s="34">
        <f t="shared" si="76"/>
        <v>7916</v>
      </c>
      <c r="E175" s="34">
        <f t="shared" si="76"/>
        <v>8234</v>
      </c>
      <c r="F175" s="34">
        <f t="shared" si="76"/>
        <v>8561</v>
      </c>
      <c r="G175" s="34">
        <f t="shared" si="76"/>
        <v>8897</v>
      </c>
      <c r="H175" s="34">
        <f t="shared" si="76"/>
        <v>9243</v>
      </c>
      <c r="I175" s="34">
        <f t="shared" si="76"/>
        <v>9591</v>
      </c>
      <c r="J175" s="34">
        <f t="shared" si="76"/>
        <v>9948</v>
      </c>
      <c r="K175" s="34">
        <f t="shared" si="76"/>
        <v>10312</v>
      </c>
      <c r="L175" s="34">
        <f t="shared" si="76"/>
        <v>10690</v>
      </c>
      <c r="M175" s="34">
        <f t="shared" si="76"/>
        <v>11083</v>
      </c>
      <c r="N175" s="34">
        <f t="shared" si="76"/>
        <v>11480</v>
      </c>
      <c r="O175" s="819">
        <f t="shared" si="76"/>
        <v>11883</v>
      </c>
    </row>
    <row r="176" spans="1:15" s="35" customFormat="1" ht="15">
      <c r="A176" s="37"/>
      <c r="B176" s="265"/>
      <c r="C176" s="38"/>
      <c r="D176" s="38"/>
      <c r="E176" s="38"/>
      <c r="F176" s="38"/>
      <c r="G176" s="38"/>
      <c r="H176" s="38"/>
      <c r="I176" s="38"/>
      <c r="J176" s="38"/>
      <c r="K176" s="38"/>
      <c r="L176" s="38"/>
      <c r="M176" s="38"/>
      <c r="N176" s="38"/>
      <c r="O176" s="989"/>
    </row>
    <row r="177" spans="1:15" s="35" customFormat="1" ht="15">
      <c r="A177" s="32" t="s">
        <v>425</v>
      </c>
      <c r="B177" s="33">
        <f>1000*12</f>
        <v>12000</v>
      </c>
      <c r="C177" s="34">
        <f aca="true" t="shared" si="77" ref="C177:H177">B177</f>
        <v>12000</v>
      </c>
      <c r="D177" s="34">
        <f t="shared" si="77"/>
        <v>12000</v>
      </c>
      <c r="E177" s="34">
        <f t="shared" si="77"/>
        <v>12000</v>
      </c>
      <c r="F177" s="34">
        <f t="shared" si="77"/>
        <v>12000</v>
      </c>
      <c r="G177" s="34">
        <f t="shared" si="77"/>
        <v>12000</v>
      </c>
      <c r="H177" s="34">
        <f t="shared" si="77"/>
        <v>12000</v>
      </c>
      <c r="I177" s="34">
        <f>(H177*(1+ECO!O10)*(1+ECO!P10)*(1+ECO!Q10)*(1+ECO!R10)*(1+ECO!S10))</f>
        <v>14114.74739484672</v>
      </c>
      <c r="J177" s="34">
        <f>I177</f>
        <v>14114.74739484672</v>
      </c>
      <c r="K177" s="34">
        <f aca="true" t="shared" si="78" ref="K177:O177">J177</f>
        <v>14114.74739484672</v>
      </c>
      <c r="L177" s="34">
        <f t="shared" si="78"/>
        <v>14114.74739484672</v>
      </c>
      <c r="M177" s="34">
        <f t="shared" si="78"/>
        <v>14114.74739484672</v>
      </c>
      <c r="N177" s="34">
        <f>(M177*(1+ECO!T10)*(1+ECO!U10)*(1+ECO!V10)*(1+ECO!W10)*(1+ECO!X10))</f>
        <v>16522.341587310922</v>
      </c>
      <c r="O177" s="819">
        <f t="shared" si="78"/>
        <v>16522.341587310922</v>
      </c>
    </row>
    <row r="178" spans="1:15" s="35" customFormat="1" ht="15">
      <c r="A178" s="32" t="s">
        <v>181</v>
      </c>
      <c r="B178" s="33">
        <f>B175*B177/1000</f>
        <v>0</v>
      </c>
      <c r="C178" s="34">
        <f>C175*C177/1000</f>
        <v>0</v>
      </c>
      <c r="D178" s="34">
        <f>D175*D177/1000</f>
        <v>94992</v>
      </c>
      <c r="E178" s="34">
        <f aca="true" t="shared" si="79" ref="E178:O178">E175*E177/1000</f>
        <v>98808</v>
      </c>
      <c r="F178" s="34">
        <f t="shared" si="79"/>
        <v>102732</v>
      </c>
      <c r="G178" s="34">
        <f t="shared" si="79"/>
        <v>106764</v>
      </c>
      <c r="H178" s="34">
        <f t="shared" si="79"/>
        <v>110916</v>
      </c>
      <c r="I178" s="34">
        <f t="shared" si="79"/>
        <v>135374.54226397487</v>
      </c>
      <c r="J178" s="34">
        <f t="shared" si="79"/>
        <v>140413.50708393517</v>
      </c>
      <c r="K178" s="34">
        <f t="shared" si="79"/>
        <v>145551.27513565938</v>
      </c>
      <c r="L178" s="34">
        <f t="shared" si="79"/>
        <v>150886.64965091142</v>
      </c>
      <c r="M178" s="34">
        <f t="shared" si="79"/>
        <v>156433.7453770862</v>
      </c>
      <c r="N178" s="34">
        <f t="shared" si="79"/>
        <v>189676.4814223294</v>
      </c>
      <c r="O178" s="819">
        <f t="shared" si="79"/>
        <v>196334.9850820157</v>
      </c>
    </row>
    <row r="179" spans="1:15" s="35" customFormat="1" ht="15">
      <c r="A179" s="632" t="s">
        <v>629</v>
      </c>
      <c r="B179" s="33">
        <v>0</v>
      </c>
      <c r="C179" s="34">
        <v>0</v>
      </c>
      <c r="D179" s="34">
        <f>(500*12*D172)/1000</f>
        <v>7681.266367346937</v>
      </c>
      <c r="E179" s="34">
        <f aca="true" t="shared" si="80" ref="E179:O179">(500*12*E172)/1000</f>
        <v>7921.7801632653045</v>
      </c>
      <c r="F179" s="34">
        <f t="shared" si="80"/>
        <v>8165.621571428569</v>
      </c>
      <c r="G179" s="34">
        <f t="shared" si="80"/>
        <v>8412.567428571425</v>
      </c>
      <c r="H179" s="34">
        <f t="shared" si="80"/>
        <v>8663.331857142857</v>
      </c>
      <c r="I179" s="34">
        <f t="shared" si="80"/>
        <v>8910.234734693875</v>
      </c>
      <c r="J179" s="34">
        <f t="shared" si="80"/>
        <v>9159.67175510204</v>
      </c>
      <c r="K179" s="34">
        <f t="shared" si="80"/>
        <v>9409.594775510202</v>
      </c>
      <c r="L179" s="34">
        <f t="shared" si="80"/>
        <v>9666.159795918365</v>
      </c>
      <c r="M179" s="34">
        <f t="shared" si="80"/>
        <v>9929.91563265306</v>
      </c>
      <c r="N179" s="34">
        <f t="shared" si="80"/>
        <v>10190.725714285712</v>
      </c>
      <c r="O179" s="819">
        <f t="shared" si="80"/>
        <v>10450.249714285714</v>
      </c>
    </row>
    <row r="180" spans="1:15" s="35" customFormat="1" ht="15">
      <c r="A180" s="32"/>
      <c r="B180" s="33"/>
      <c r="C180" s="34"/>
      <c r="D180" s="34"/>
      <c r="E180" s="34"/>
      <c r="F180" s="34"/>
      <c r="G180" s="34"/>
      <c r="H180" s="34"/>
      <c r="I180" s="34"/>
      <c r="J180" s="34"/>
      <c r="K180" s="34"/>
      <c r="L180" s="34"/>
      <c r="M180" s="34"/>
      <c r="N180" s="34"/>
      <c r="O180" s="819"/>
    </row>
    <row r="181" spans="1:15" s="35" customFormat="1" ht="15">
      <c r="A181" s="987" t="s">
        <v>621</v>
      </c>
      <c r="B181" s="33">
        <f>B178-B179</f>
        <v>0</v>
      </c>
      <c r="C181" s="34">
        <f aca="true" t="shared" si="81" ref="C181:O181">C178-C179</f>
        <v>0</v>
      </c>
      <c r="D181" s="34">
        <f t="shared" si="81"/>
        <v>87310.73363265306</v>
      </c>
      <c r="E181" s="34">
        <f t="shared" si="81"/>
        <v>90886.2198367347</v>
      </c>
      <c r="F181" s="34">
        <f t="shared" si="81"/>
        <v>94566.37842857144</v>
      </c>
      <c r="G181" s="34">
        <f t="shared" si="81"/>
        <v>98351.43257142858</v>
      </c>
      <c r="H181" s="34">
        <f t="shared" si="81"/>
        <v>102252.66814285715</v>
      </c>
      <c r="I181" s="34">
        <f t="shared" si="81"/>
        <v>126464.307529281</v>
      </c>
      <c r="J181" s="34">
        <f t="shared" si="81"/>
        <v>131253.83532883314</v>
      </c>
      <c r="K181" s="34">
        <f t="shared" si="81"/>
        <v>136141.68036014918</v>
      </c>
      <c r="L181" s="34">
        <f t="shared" si="81"/>
        <v>141220.48985499307</v>
      </c>
      <c r="M181" s="34">
        <f t="shared" si="81"/>
        <v>146503.82974443314</v>
      </c>
      <c r="N181" s="34">
        <f t="shared" si="81"/>
        <v>179485.7557080437</v>
      </c>
      <c r="O181" s="819">
        <f t="shared" si="81"/>
        <v>185884.73536772997</v>
      </c>
    </row>
    <row r="182" spans="1:15" s="35" customFormat="1" ht="15">
      <c r="A182" s="32" t="s">
        <v>86</v>
      </c>
      <c r="B182" s="33">
        <f>7%*B181</f>
        <v>0</v>
      </c>
      <c r="C182" s="34">
        <f>7%*C181</f>
        <v>0</v>
      </c>
      <c r="D182" s="34">
        <f aca="true" t="shared" si="82" ref="D182:O182">7%*D181</f>
        <v>6111.751354285715</v>
      </c>
      <c r="E182" s="34">
        <f t="shared" si="82"/>
        <v>6362.035388571429</v>
      </c>
      <c r="F182" s="34">
        <f t="shared" si="82"/>
        <v>6619.646490000001</v>
      </c>
      <c r="G182" s="34">
        <f t="shared" si="82"/>
        <v>6884.6002800000015</v>
      </c>
      <c r="H182" s="34">
        <f t="shared" si="82"/>
        <v>7157.686770000001</v>
      </c>
      <c r="I182" s="34">
        <f t="shared" si="82"/>
        <v>8852.50152704967</v>
      </c>
      <c r="J182" s="34">
        <f t="shared" si="82"/>
        <v>9187.768473018321</v>
      </c>
      <c r="K182" s="34">
        <f t="shared" si="82"/>
        <v>9529.917625210444</v>
      </c>
      <c r="L182" s="34">
        <f t="shared" si="82"/>
        <v>9885.434289849516</v>
      </c>
      <c r="M182" s="34">
        <f t="shared" si="82"/>
        <v>10255.26808211032</v>
      </c>
      <c r="N182" s="34">
        <f t="shared" si="82"/>
        <v>12564.00289956306</v>
      </c>
      <c r="O182" s="819">
        <f t="shared" si="82"/>
        <v>13011.9314757411</v>
      </c>
    </row>
    <row r="183" spans="1:15" ht="15">
      <c r="A183" s="32"/>
      <c r="B183" s="33"/>
      <c r="C183" s="34"/>
      <c r="D183" s="34"/>
      <c r="E183" s="34"/>
      <c r="F183" s="34"/>
      <c r="G183" s="34"/>
      <c r="H183" s="34"/>
      <c r="I183" s="34"/>
      <c r="J183" s="34"/>
      <c r="K183" s="34"/>
      <c r="L183" s="34"/>
      <c r="M183" s="34"/>
      <c r="N183" s="34"/>
      <c r="O183" s="819"/>
    </row>
    <row r="184" spans="1:15" ht="15">
      <c r="A184" s="43" t="s">
        <v>290</v>
      </c>
      <c r="B184" s="44">
        <f>B181+B182</f>
        <v>0</v>
      </c>
      <c r="C184" s="45">
        <f>C181+C182</f>
        <v>0</v>
      </c>
      <c r="D184" s="45">
        <f aca="true" t="shared" si="83" ref="D184:O184">D181+D182</f>
        <v>93422.48498693878</v>
      </c>
      <c r="E184" s="45">
        <f t="shared" si="83"/>
        <v>97248.25522530613</v>
      </c>
      <c r="F184" s="45">
        <f t="shared" si="83"/>
        <v>101186.02491857143</v>
      </c>
      <c r="G184" s="45">
        <f t="shared" si="83"/>
        <v>105236.03285142858</v>
      </c>
      <c r="H184" s="45">
        <f t="shared" si="83"/>
        <v>109410.35491285715</v>
      </c>
      <c r="I184" s="45">
        <f t="shared" si="83"/>
        <v>135316.80905633068</v>
      </c>
      <c r="J184" s="45">
        <f t="shared" si="83"/>
        <v>140441.60380185145</v>
      </c>
      <c r="K184" s="45">
        <f t="shared" si="83"/>
        <v>145671.59798535964</v>
      </c>
      <c r="L184" s="45">
        <f t="shared" si="83"/>
        <v>151105.92414484257</v>
      </c>
      <c r="M184" s="45">
        <f t="shared" si="83"/>
        <v>156759.09782654347</v>
      </c>
      <c r="N184" s="45">
        <f t="shared" si="83"/>
        <v>192049.75860760675</v>
      </c>
      <c r="O184" s="874">
        <f t="shared" si="83"/>
        <v>198896.66684347106</v>
      </c>
    </row>
    <row r="185" spans="1:15" ht="15">
      <c r="A185" s="43" t="s">
        <v>69</v>
      </c>
      <c r="B185" s="270">
        <f>B184/(ECO!L$66*1000)</f>
        <v>0</v>
      </c>
      <c r="C185" s="271">
        <f>C184/(ECO!M$66*1000)</f>
        <v>0</v>
      </c>
      <c r="D185" s="271">
        <f>D184/(ECO!N$66*1000)</f>
        <v>0.005637059135228545</v>
      </c>
      <c r="E185" s="271">
        <f>E184/(ECO!O$66*1000)</f>
        <v>0.005333333290847218</v>
      </c>
      <c r="F185" s="271">
        <f>F184/(ECO!P$66*1000)</f>
        <v>0.005048467739007436</v>
      </c>
      <c r="G185" s="271">
        <f>G184/(ECO!Q$66*1000)</f>
        <v>0.00478218028342478</v>
      </c>
      <c r="H185" s="271">
        <f>H184/(ECO!R$66*1000)</f>
        <v>0.004690444897019318</v>
      </c>
      <c r="I185" s="271">
        <f>I184/(ECO!S$66*1000)</f>
        <v>0.005472698139492739</v>
      </c>
      <c r="J185" s="271">
        <f>J184/(ECO!T$66*1000)</f>
        <v>0.005358455905195886</v>
      </c>
      <c r="K185" s="271">
        <f>K184/(ECO!U$66*1000)</f>
        <v>0.005243398916805319</v>
      </c>
      <c r="L185" s="271">
        <f>L184/(ECO!V$66*1000)</f>
        <v>0.0051311373700221544</v>
      </c>
      <c r="M185" s="271">
        <f>M184/(ECO!W$66*1000)</f>
        <v>0.005021795700166904</v>
      </c>
      <c r="N185" s="271">
        <f>N184/(ECO!X$66*1000)</f>
        <v>0.005804090632887134</v>
      </c>
      <c r="O185" s="968">
        <f>O184/(ECO!Y$66*1000)</f>
        <v>0.005670770347503543</v>
      </c>
    </row>
    <row r="186" spans="1:15" ht="15">
      <c r="A186" s="969" t="s">
        <v>71</v>
      </c>
      <c r="B186" s="970">
        <f>B184/('GGO (SQ)'!L$24*1000)</f>
        <v>0</v>
      </c>
      <c r="C186" s="964">
        <f>C184/('GGO (SQ)'!M$24*1000)</f>
        <v>0</v>
      </c>
      <c r="D186" s="964">
        <f>D184/('GGO (SQ)'!N$24*1000)</f>
        <v>0.03593960550160119</v>
      </c>
      <c r="E186" s="964">
        <f>E184/('GGO (SQ)'!O$24*1000)</f>
        <v>0.03400317255565462</v>
      </c>
      <c r="F186" s="964">
        <f>F184/('GGO (SQ)'!P$24*1000)</f>
        <v>0.032186985194742244</v>
      </c>
      <c r="G186" s="964">
        <f>G184/('GGO (SQ)'!Q$24*1000)</f>
        <v>0.030489244249670932</v>
      </c>
      <c r="H186" s="964">
        <f>H184/('GGO (SQ)'!R$24*1000)</f>
        <v>0.02990437658749843</v>
      </c>
      <c r="I186" s="964">
        <f>I184/('GGO (SQ)'!S$24*1000)</f>
        <v>0.034891706374611496</v>
      </c>
      <c r="J186" s="964">
        <f>J184/('GGO (SQ)'!T$24*1000)</f>
        <v>0.03416334416769561</v>
      </c>
      <c r="K186" s="964">
        <f>K184/('GGO (SQ)'!U$24*1000)</f>
        <v>0.033429787418731045</v>
      </c>
      <c r="L186" s="964">
        <f>L184/('GGO (SQ)'!V$24*1000)</f>
        <v>0.03271405327303578</v>
      </c>
      <c r="M186" s="964">
        <f>M184/('GGO (SQ)'!W$24*1000)</f>
        <v>0.03201693507980528</v>
      </c>
      <c r="N186" s="964">
        <f>N184/('GGO (SQ)'!X$24*1000)</f>
        <v>0.03700453066704348</v>
      </c>
      <c r="O186" s="971">
        <f>O184/('GGO (SQ)'!Y$24*1000)</f>
        <v>0.03615453453482216</v>
      </c>
    </row>
    <row r="188" spans="1:15" ht="15">
      <c r="A188" s="1117" t="s">
        <v>636</v>
      </c>
      <c r="B188" s="1118"/>
      <c r="C188" s="1118"/>
      <c r="D188" s="1118"/>
      <c r="E188" s="1118"/>
      <c r="F188" s="1118"/>
      <c r="G188" s="1118"/>
      <c r="H188" s="1118"/>
      <c r="I188" s="1118"/>
      <c r="J188" s="1118"/>
      <c r="K188" s="1118"/>
      <c r="L188" s="1118"/>
      <c r="M188" s="1118"/>
      <c r="N188" s="1118"/>
      <c r="O188" s="1119"/>
    </row>
    <row r="189" spans="1:15" ht="15">
      <c r="A189" s="644" t="s">
        <v>631</v>
      </c>
      <c r="B189" s="263">
        <f>SUM(POP!L$63:L$67)</f>
        <v>7321</v>
      </c>
      <c r="C189" s="31">
        <f>SUM(POP!M$63:M$67)</f>
        <v>7611</v>
      </c>
      <c r="D189" s="1058">
        <f>SUM(POP!N$63:N$67)</f>
        <v>7916</v>
      </c>
      <c r="E189" s="1058">
        <f>SUM(POP!O$63:O$67)</f>
        <v>8234</v>
      </c>
      <c r="F189" s="1058">
        <f>SUM(POP!P$63:P$67)</f>
        <v>8561</v>
      </c>
      <c r="G189" s="1058">
        <f>SUM(POP!Q$63:Q$67)</f>
        <v>8897</v>
      </c>
      <c r="H189" s="1058">
        <f>SUM(POP!R$63:R$67)</f>
        <v>9243</v>
      </c>
      <c r="I189" s="1059">
        <f>SUM(POP!S$63:S$67)</f>
        <v>9591</v>
      </c>
      <c r="J189" s="1062">
        <f>SUM(POP!T$63:T$67)</f>
        <v>9948</v>
      </c>
      <c r="K189" s="1062">
        <f>SUM(POP!U$63:U$67)</f>
        <v>10312</v>
      </c>
      <c r="L189" s="1062">
        <f>SUM(POP!V$63:V$67)</f>
        <v>10690</v>
      </c>
      <c r="M189" s="1062">
        <f>SUM(POP!W$63:W$67)</f>
        <v>11083</v>
      </c>
      <c r="N189" s="1062">
        <f>SUM(POP!X$63:X$67)</f>
        <v>11480</v>
      </c>
      <c r="O189" s="1063">
        <f>SUM(POP!Y$63:Y$67)</f>
        <v>11883</v>
      </c>
    </row>
    <row r="190" spans="1:15" ht="15">
      <c r="A190" s="632" t="s">
        <v>630</v>
      </c>
      <c r="B190" s="33">
        <f>B189*ECO!L59</f>
        <v>1204.1550918367348</v>
      </c>
      <c r="C190" s="34">
        <f>C189*ECO!M59</f>
        <v>1241.369632653061</v>
      </c>
      <c r="D190" s="1058">
        <f>D189*ECO!N59</f>
        <v>1280.2110612244894</v>
      </c>
      <c r="E190" s="1058">
        <f>E189*ECO!O59</f>
        <v>1320.2966938775508</v>
      </c>
      <c r="F190" s="1058">
        <f>F189*ECO!P59</f>
        <v>1360.936928571428</v>
      </c>
      <c r="G190" s="1058">
        <f>G189*ECO!Q59</f>
        <v>1402.094571428571</v>
      </c>
      <c r="H190" s="1058">
        <f>H189*ECO!R59</f>
        <v>1443.8886428571427</v>
      </c>
      <c r="I190" s="1058">
        <f>I189*ECO!S59</f>
        <v>1485.0391224489792</v>
      </c>
      <c r="J190" s="1064">
        <f>J189*ECO!T59</f>
        <v>1526.6119591836732</v>
      </c>
      <c r="K190" s="1064">
        <f>K189*ECO!U59</f>
        <v>1568.2657959183673</v>
      </c>
      <c r="L190" s="1064">
        <f>L189*ECO!V59</f>
        <v>1611.026632653061</v>
      </c>
      <c r="M190" s="1064">
        <f>M189*ECO!W59</f>
        <v>1654.98593877551</v>
      </c>
      <c r="N190" s="1064">
        <f>N189*ECO!X59</f>
        <v>1698.4542857142856</v>
      </c>
      <c r="O190" s="1065">
        <f>O189*ECO!Y59</f>
        <v>1741.7082857142857</v>
      </c>
    </row>
    <row r="191" spans="1:15" ht="15">
      <c r="A191" s="30"/>
      <c r="B191" s="263"/>
      <c r="C191" s="31"/>
      <c r="D191" s="1144" t="s">
        <v>637</v>
      </c>
      <c r="E191" s="1144"/>
      <c r="F191" s="1144"/>
      <c r="G191" s="1144"/>
      <c r="H191" s="1144"/>
      <c r="I191" s="1144"/>
      <c r="J191" s="1145" t="s">
        <v>635</v>
      </c>
      <c r="K191" s="1145"/>
      <c r="L191" s="1145"/>
      <c r="M191" s="1145"/>
      <c r="N191" s="1145"/>
      <c r="O191" s="1146"/>
    </row>
    <row r="192" spans="1:16" ht="12.75" customHeight="1">
      <c r="A192" s="32" t="s">
        <v>74</v>
      </c>
      <c r="B192" s="268">
        <v>0</v>
      </c>
      <c r="C192" s="269">
        <v>0</v>
      </c>
      <c r="D192" s="1060">
        <v>1</v>
      </c>
      <c r="E192" s="1060">
        <v>1</v>
      </c>
      <c r="F192" s="1060">
        <v>1</v>
      </c>
      <c r="G192" s="1060">
        <v>1</v>
      </c>
      <c r="H192" s="1060">
        <v>1</v>
      </c>
      <c r="I192" s="1060">
        <v>1</v>
      </c>
      <c r="J192" s="1066">
        <v>1</v>
      </c>
      <c r="K192" s="1066">
        <v>1</v>
      </c>
      <c r="L192" s="1066">
        <v>1</v>
      </c>
      <c r="M192" s="1066">
        <v>1</v>
      </c>
      <c r="N192" s="1066">
        <v>1</v>
      </c>
      <c r="O192" s="1067">
        <v>1</v>
      </c>
      <c r="P192" s="1147" t="s">
        <v>638</v>
      </c>
    </row>
    <row r="193" spans="1:16" ht="15">
      <c r="A193" s="32" t="s">
        <v>70</v>
      </c>
      <c r="B193" s="33">
        <f>B189*B192</f>
        <v>0</v>
      </c>
      <c r="C193" s="34">
        <f aca="true" t="shared" si="84" ref="C193:O193">C189*C192</f>
        <v>0</v>
      </c>
      <c r="D193" s="1058">
        <f>D190*D192</f>
        <v>1280.2110612244894</v>
      </c>
      <c r="E193" s="1058">
        <f aca="true" t="shared" si="85" ref="E193:I193">E190*E192</f>
        <v>1320.2966938775508</v>
      </c>
      <c r="F193" s="1058">
        <f t="shared" si="85"/>
        <v>1360.936928571428</v>
      </c>
      <c r="G193" s="1058">
        <f t="shared" si="85"/>
        <v>1402.094571428571</v>
      </c>
      <c r="H193" s="1058">
        <f t="shared" si="85"/>
        <v>1443.8886428571427</v>
      </c>
      <c r="I193" s="1058">
        <f t="shared" si="85"/>
        <v>1485.0391224489792</v>
      </c>
      <c r="J193" s="1064">
        <f>J189*J192</f>
        <v>9948</v>
      </c>
      <c r="K193" s="1064">
        <f t="shared" si="84"/>
        <v>10312</v>
      </c>
      <c r="L193" s="1064">
        <f t="shared" si="84"/>
        <v>10690</v>
      </c>
      <c r="M193" s="1064">
        <f t="shared" si="84"/>
        <v>11083</v>
      </c>
      <c r="N193" s="1064">
        <f t="shared" si="84"/>
        <v>11480</v>
      </c>
      <c r="O193" s="1065">
        <f t="shared" si="84"/>
        <v>11883</v>
      </c>
      <c r="P193" s="1147"/>
    </row>
    <row r="194" spans="1:16" ht="15">
      <c r="A194" s="37"/>
      <c r="B194" s="265"/>
      <c r="C194" s="38"/>
      <c r="D194" s="1061"/>
      <c r="E194" s="1061"/>
      <c r="F194" s="1061"/>
      <c r="G194" s="1061"/>
      <c r="H194" s="1061"/>
      <c r="I194" s="1061"/>
      <c r="J194" s="1068"/>
      <c r="K194" s="1068"/>
      <c r="L194" s="1068"/>
      <c r="M194" s="1068"/>
      <c r="N194" s="1068"/>
      <c r="O194" s="1069"/>
      <c r="P194" s="1147"/>
    </row>
    <row r="195" spans="1:15" ht="15">
      <c r="A195" s="32" t="s">
        <v>425</v>
      </c>
      <c r="B195" s="33">
        <f>750*12</f>
        <v>9000</v>
      </c>
      <c r="C195" s="34">
        <f aca="true" t="shared" si="86" ref="C195">B195</f>
        <v>9000</v>
      </c>
      <c r="D195" s="1058">
        <f aca="true" t="shared" si="87" ref="D195">C195</f>
        <v>9000</v>
      </c>
      <c r="E195" s="1058">
        <f aca="true" t="shared" si="88" ref="E195">D195</f>
        <v>9000</v>
      </c>
      <c r="F195" s="1058">
        <f aca="true" t="shared" si="89" ref="F195">E195</f>
        <v>9000</v>
      </c>
      <c r="G195" s="1058">
        <f aca="true" t="shared" si="90" ref="G195">F195</f>
        <v>9000</v>
      </c>
      <c r="H195" s="1058">
        <f aca="true" t="shared" si="91" ref="H195">G195</f>
        <v>9000</v>
      </c>
      <c r="I195" s="1058">
        <f>(H195*(1+ECO!O10)*(1+ECO!P10)*(1+ECO!Q10)*(1+ECO!R10)*(1+ECO!S10))</f>
        <v>10586.060546135039</v>
      </c>
      <c r="J195" s="1064">
        <f>I195</f>
        <v>10586.060546135039</v>
      </c>
      <c r="K195" s="1064">
        <f aca="true" t="shared" si="92" ref="K195:M195">J195</f>
        <v>10586.060546135039</v>
      </c>
      <c r="L195" s="1064">
        <f t="shared" si="92"/>
        <v>10586.060546135039</v>
      </c>
      <c r="M195" s="1064">
        <f t="shared" si="92"/>
        <v>10586.060546135039</v>
      </c>
      <c r="N195" s="1064">
        <f>(M195*(1+ECO!T10)*(1+ECO!U10)*(1+ECO!V10)*(1+ECO!W10)*(1+ECO!X10))</f>
        <v>12391.756190483193</v>
      </c>
      <c r="O195" s="1065">
        <f aca="true" t="shared" si="93" ref="O195">N195</f>
        <v>12391.756190483193</v>
      </c>
    </row>
    <row r="196" spans="1:15" ht="15">
      <c r="A196" s="32" t="s">
        <v>181</v>
      </c>
      <c r="B196" s="33">
        <f>B193*B195/1000</f>
        <v>0</v>
      </c>
      <c r="C196" s="34">
        <f>C193*C195/1000</f>
        <v>0</v>
      </c>
      <c r="D196" s="1058">
        <f>D193*D195/1000</f>
        <v>11521.899551020404</v>
      </c>
      <c r="E196" s="1058">
        <f aca="true" t="shared" si="94" ref="E196:O196">E193*E195/1000</f>
        <v>11882.670244897956</v>
      </c>
      <c r="F196" s="1058">
        <f t="shared" si="94"/>
        <v>12248.432357142852</v>
      </c>
      <c r="G196" s="1058">
        <f t="shared" si="94"/>
        <v>12618.85114285714</v>
      </c>
      <c r="H196" s="1058">
        <f t="shared" si="94"/>
        <v>12994.997785714284</v>
      </c>
      <c r="I196" s="1058">
        <f t="shared" si="94"/>
        <v>15720.71406362414</v>
      </c>
      <c r="J196" s="1064">
        <f>J193*J195/1000</f>
        <v>105310.13031295137</v>
      </c>
      <c r="K196" s="1064">
        <f t="shared" si="94"/>
        <v>109163.45635174452</v>
      </c>
      <c r="L196" s="1064">
        <f t="shared" si="94"/>
        <v>113164.98723818356</v>
      </c>
      <c r="M196" s="1064">
        <f t="shared" si="94"/>
        <v>117325.30903281464</v>
      </c>
      <c r="N196" s="1064">
        <f t="shared" si="94"/>
        <v>142257.36106674705</v>
      </c>
      <c r="O196" s="1065">
        <f t="shared" si="94"/>
        <v>147251.23881151178</v>
      </c>
    </row>
    <row r="197" spans="1:15" ht="15">
      <c r="A197" s="632" t="s">
        <v>629</v>
      </c>
      <c r="B197" s="33">
        <v>0</v>
      </c>
      <c r="C197" s="34">
        <v>0</v>
      </c>
      <c r="D197" s="1058">
        <f>(500*12*D190)/1000</f>
        <v>7681.266367346937</v>
      </c>
      <c r="E197" s="1058">
        <f aca="true" t="shared" si="95" ref="E197:O197">(500*12*E190)/1000</f>
        <v>7921.7801632653045</v>
      </c>
      <c r="F197" s="1058">
        <f t="shared" si="95"/>
        <v>8165.621571428569</v>
      </c>
      <c r="G197" s="1058">
        <f t="shared" si="95"/>
        <v>8412.567428571425</v>
      </c>
      <c r="H197" s="1058">
        <f t="shared" si="95"/>
        <v>8663.331857142857</v>
      </c>
      <c r="I197" s="1058">
        <f t="shared" si="95"/>
        <v>8910.234734693875</v>
      </c>
      <c r="J197" s="1064">
        <f>(500*12*J190)/1000</f>
        <v>9159.67175510204</v>
      </c>
      <c r="K197" s="1064">
        <f t="shared" si="95"/>
        <v>9409.594775510202</v>
      </c>
      <c r="L197" s="1064">
        <f t="shared" si="95"/>
        <v>9666.159795918365</v>
      </c>
      <c r="M197" s="1064">
        <f t="shared" si="95"/>
        <v>9929.91563265306</v>
      </c>
      <c r="N197" s="1064">
        <f t="shared" si="95"/>
        <v>10190.725714285712</v>
      </c>
      <c r="O197" s="1065">
        <f t="shared" si="95"/>
        <v>10450.249714285714</v>
      </c>
    </row>
    <row r="198" spans="1:15" ht="15">
      <c r="A198" s="32"/>
      <c r="B198" s="33"/>
      <c r="C198" s="34"/>
      <c r="D198" s="1058"/>
      <c r="E198" s="1058"/>
      <c r="F198" s="1058"/>
      <c r="G198" s="1058"/>
      <c r="H198" s="1058"/>
      <c r="I198" s="1058"/>
      <c r="J198" s="1064"/>
      <c r="K198" s="1064"/>
      <c r="L198" s="1064"/>
      <c r="M198" s="1064"/>
      <c r="N198" s="1064"/>
      <c r="O198" s="1065"/>
    </row>
    <row r="199" spans="1:15" ht="15">
      <c r="A199" s="987" t="s">
        <v>621</v>
      </c>
      <c r="B199" s="33">
        <f>B196-B197</f>
        <v>0</v>
      </c>
      <c r="C199" s="34">
        <f aca="true" t="shared" si="96" ref="C199:O199">C196-C197</f>
        <v>0</v>
      </c>
      <c r="D199" s="1058">
        <f>D196-D197</f>
        <v>3840.633183673467</v>
      </c>
      <c r="E199" s="1058">
        <f t="shared" si="96"/>
        <v>3960.8900816326513</v>
      </c>
      <c r="F199" s="1058">
        <f t="shared" si="96"/>
        <v>4082.810785714283</v>
      </c>
      <c r="G199" s="1058">
        <f t="shared" si="96"/>
        <v>4206.283714285715</v>
      </c>
      <c r="H199" s="1058">
        <f t="shared" si="96"/>
        <v>4331.665928571427</v>
      </c>
      <c r="I199" s="1058">
        <f t="shared" si="96"/>
        <v>6810.479328930265</v>
      </c>
      <c r="J199" s="1064">
        <f>J196-J197</f>
        <v>96150.45855784933</v>
      </c>
      <c r="K199" s="1064">
        <f t="shared" si="96"/>
        <v>99753.86157623431</v>
      </c>
      <c r="L199" s="1064">
        <f t="shared" si="96"/>
        <v>103498.82744226519</v>
      </c>
      <c r="M199" s="1064">
        <f t="shared" si="96"/>
        <v>107395.39340016157</v>
      </c>
      <c r="N199" s="1064">
        <f t="shared" si="96"/>
        <v>132066.63535246134</v>
      </c>
      <c r="O199" s="1065">
        <f t="shared" si="96"/>
        <v>136800.98909722606</v>
      </c>
    </row>
    <row r="200" spans="1:15" ht="15">
      <c r="A200" s="32" t="s">
        <v>86</v>
      </c>
      <c r="B200" s="33">
        <f>3%*B199</f>
        <v>0</v>
      </c>
      <c r="C200" s="34">
        <f aca="true" t="shared" si="97" ref="C200:I200">3%*C199</f>
        <v>0</v>
      </c>
      <c r="D200" s="1058">
        <f t="shared" si="97"/>
        <v>115.21899551020401</v>
      </c>
      <c r="E200" s="1058">
        <f t="shared" si="97"/>
        <v>118.82670244897953</v>
      </c>
      <c r="F200" s="1058">
        <f t="shared" si="97"/>
        <v>122.48432357142849</v>
      </c>
      <c r="G200" s="1058">
        <f t="shared" si="97"/>
        <v>126.18851142857145</v>
      </c>
      <c r="H200" s="1058">
        <f t="shared" si="97"/>
        <v>129.9499778571428</v>
      </c>
      <c r="I200" s="1058">
        <f t="shared" si="97"/>
        <v>204.31437986790795</v>
      </c>
      <c r="J200" s="1064">
        <f>7%*J199</f>
        <v>6730.532099049454</v>
      </c>
      <c r="K200" s="1064">
        <f aca="true" t="shared" si="98" ref="K200">7%*K199</f>
        <v>6982.770310336402</v>
      </c>
      <c r="L200" s="1064">
        <f aca="true" t="shared" si="99" ref="L200">7%*L199</f>
        <v>7244.917920958564</v>
      </c>
      <c r="M200" s="1064">
        <f aca="true" t="shared" si="100" ref="M200">7%*M199</f>
        <v>7517.67753801131</v>
      </c>
      <c r="N200" s="1064">
        <f aca="true" t="shared" si="101" ref="N200">7%*N199</f>
        <v>9244.664474672294</v>
      </c>
      <c r="O200" s="1065">
        <f aca="true" t="shared" si="102" ref="O200">7%*O199</f>
        <v>9576.069236805824</v>
      </c>
    </row>
    <row r="201" spans="1:15" ht="15">
      <c r="A201" s="32"/>
      <c r="B201" s="33"/>
      <c r="C201" s="34"/>
      <c r="D201" s="1058"/>
      <c r="E201" s="1058"/>
      <c r="F201" s="1058"/>
      <c r="G201" s="1058"/>
      <c r="H201" s="1058"/>
      <c r="I201" s="1058"/>
      <c r="J201" s="1064"/>
      <c r="K201" s="1064"/>
      <c r="L201" s="1064"/>
      <c r="M201" s="1064"/>
      <c r="N201" s="1064"/>
      <c r="O201" s="1065"/>
    </row>
    <row r="202" spans="1:15" ht="15">
      <c r="A202" s="43" t="s">
        <v>290</v>
      </c>
      <c r="B202" s="44">
        <f>B199+B200</f>
        <v>0</v>
      </c>
      <c r="C202" s="45">
        <f>C199+C200</f>
        <v>0</v>
      </c>
      <c r="D202" s="45">
        <f aca="true" t="shared" si="103" ref="D202:O202">D199+D200</f>
        <v>3955.852179183671</v>
      </c>
      <c r="E202" s="45">
        <f t="shared" si="103"/>
        <v>4079.716784081631</v>
      </c>
      <c r="F202" s="45">
        <f t="shared" si="103"/>
        <v>4205.295109285712</v>
      </c>
      <c r="G202" s="45">
        <f t="shared" si="103"/>
        <v>4332.472225714287</v>
      </c>
      <c r="H202" s="45">
        <f t="shared" si="103"/>
        <v>4461.615906428569</v>
      </c>
      <c r="I202" s="45">
        <f t="shared" si="103"/>
        <v>7014.793708798173</v>
      </c>
      <c r="J202" s="45">
        <f>J199+J200</f>
        <v>102880.99065689878</v>
      </c>
      <c r="K202" s="45">
        <f t="shared" si="103"/>
        <v>106736.63188657071</v>
      </c>
      <c r="L202" s="45">
        <f t="shared" si="103"/>
        <v>110743.74536322374</v>
      </c>
      <c r="M202" s="45">
        <f t="shared" si="103"/>
        <v>114913.07093817288</v>
      </c>
      <c r="N202" s="45">
        <f t="shared" si="103"/>
        <v>141311.29982713363</v>
      </c>
      <c r="O202" s="874">
        <f t="shared" si="103"/>
        <v>146377.0583340319</v>
      </c>
    </row>
    <row r="203" spans="1:15" ht="15">
      <c r="A203" s="43" t="s">
        <v>69</v>
      </c>
      <c r="B203" s="270">
        <f>B202/(ECO!L$66*1000)</f>
        <v>0</v>
      </c>
      <c r="C203" s="271">
        <f>C202/(ECO!M$66*1000)</f>
        <v>0</v>
      </c>
      <c r="D203" s="271">
        <f>D202/(ECO!N$66*1000)</f>
        <v>0.00023869385049432902</v>
      </c>
      <c r="E203" s="271">
        <f>E202/(ECO!O$66*1000)</f>
        <v>0.00022374169378525444</v>
      </c>
      <c r="F203" s="271">
        <f>F202/(ECO!P$66*1000)</f>
        <v>0.00020981451449762515</v>
      </c>
      <c r="G203" s="271">
        <f>G202/(ECO!Q$66*1000)</f>
        <v>0.00019687803402420904</v>
      </c>
      <c r="H203" s="271">
        <f>H202/(ECO!R$66*1000)</f>
        <v>0.00019127041108161976</v>
      </c>
      <c r="I203" s="271">
        <f>I202/(ECO!S$66*1000)</f>
        <v>0.000283703471481388</v>
      </c>
      <c r="J203" s="271">
        <f>J202/(ECO!T$66*1000)</f>
        <v>0.003925355713650675</v>
      </c>
      <c r="K203" s="271">
        <f>K202/(ECO!U$66*1000)</f>
        <v>0.0038419482435672904</v>
      </c>
      <c r="L203" s="271">
        <f>L202/(ECO!V$66*1000)</f>
        <v>0.0037605499158641013</v>
      </c>
      <c r="M203" s="271">
        <f>M202/(ECO!W$66*1000)</f>
        <v>0.003681253423446137</v>
      </c>
      <c r="N203" s="271">
        <f>N202/(ECO!X$66*1000)</f>
        <v>0.004270682752190064</v>
      </c>
      <c r="O203" s="968">
        <f>O202/(ECO!Y$66*1000)</f>
        <v>0.004173376533296451</v>
      </c>
    </row>
    <row r="204" spans="1:15" ht="15">
      <c r="A204" s="969" t="s">
        <v>71</v>
      </c>
      <c r="B204" s="970">
        <f>B202/('GGO (SQ)'!L$24*1000)</f>
        <v>0</v>
      </c>
      <c r="C204" s="964">
        <f>C202/('GGO (SQ)'!M$24*1000)</f>
        <v>0</v>
      </c>
      <c r="D204" s="964">
        <f>D202/('GGO (SQ)'!N$24*1000)</f>
        <v>0.0015218152970603092</v>
      </c>
      <c r="E204" s="964">
        <f>E202/('GGO (SQ)'!O$24*1000)</f>
        <v>0.0014264864029275579</v>
      </c>
      <c r="F204" s="964">
        <f>F202/('GGO (SQ)'!P$24*1000)</f>
        <v>0.0013376923496206867</v>
      </c>
      <c r="G204" s="964">
        <f>G202/('GGO (SQ)'!Q$24*1000)</f>
        <v>0.0012552145906260773</v>
      </c>
      <c r="H204" s="964">
        <f>H202/('GGO (SQ)'!R$24*1000)</f>
        <v>0.0012194626583642888</v>
      </c>
      <c r="I204" s="964">
        <f>I202/('GGO (SQ)'!S$24*1000)</f>
        <v>0.0018087784073002203</v>
      </c>
      <c r="J204" s="964">
        <f>J202/('GGO (SQ)'!T$24*1000)</f>
        <v>0.025026477888162472</v>
      </c>
      <c r="K204" s="964">
        <f>K202/('GGO (SQ)'!U$24*1000)</f>
        <v>0.024494705646862062</v>
      </c>
      <c r="L204" s="964">
        <f>L202/('GGO (SQ)'!V$24*1000)</f>
        <v>0.023975742883484186</v>
      </c>
      <c r="M204" s="964">
        <f>M202/('GGO (SQ)'!W$24*1000)</f>
        <v>0.02347018057044189</v>
      </c>
      <c r="N204" s="964">
        <f>N202/('GGO (SQ)'!X$24*1000)</f>
        <v>0.027228143195624013</v>
      </c>
      <c r="O204" s="971">
        <f>O202/('GGO (SQ)'!Y$24*1000)</f>
        <v>0.026607758162223594</v>
      </c>
    </row>
    <row r="206" spans="1:44" s="254" customFormat="1" ht="15">
      <c r="A206" s="259" t="s">
        <v>522</v>
      </c>
      <c r="B206" s="116">
        <v>2015</v>
      </c>
      <c r="C206" s="116">
        <v>2016</v>
      </c>
      <c r="D206" s="116">
        <v>2017</v>
      </c>
      <c r="E206" s="116">
        <v>2018</v>
      </c>
      <c r="F206" s="116">
        <v>2019</v>
      </c>
      <c r="G206" s="116">
        <v>2020</v>
      </c>
      <c r="H206" s="116">
        <v>2021</v>
      </c>
      <c r="I206" s="116">
        <v>2022</v>
      </c>
      <c r="J206" s="116">
        <v>2023</v>
      </c>
      <c r="K206" s="116">
        <v>2024</v>
      </c>
      <c r="L206" s="116">
        <v>2025</v>
      </c>
      <c r="M206" s="116">
        <v>2026</v>
      </c>
      <c r="N206" s="116">
        <v>2027</v>
      </c>
      <c r="O206" s="116">
        <v>2028</v>
      </c>
      <c r="P206" s="35"/>
      <c r="Q206" s="35"/>
      <c r="R206" s="35"/>
      <c r="S206" s="35"/>
      <c r="T206" s="35"/>
      <c r="U206" s="35"/>
      <c r="V206" s="35"/>
      <c r="W206" s="35"/>
      <c r="X206" s="35"/>
      <c r="Y206" s="35"/>
      <c r="Z206" s="35"/>
      <c r="AA206" s="21"/>
      <c r="AB206" s="21"/>
      <c r="AC206" s="21"/>
      <c r="AD206" s="21"/>
      <c r="AE206" s="21"/>
      <c r="AF206" s="21"/>
      <c r="AG206" s="21"/>
      <c r="AH206" s="21"/>
      <c r="AI206" s="21"/>
      <c r="AJ206" s="21"/>
      <c r="AK206" s="21"/>
      <c r="AL206" s="21"/>
      <c r="AM206" s="21"/>
      <c r="AN206" s="21"/>
      <c r="AO206" s="21"/>
      <c r="AP206" s="21"/>
      <c r="AQ206" s="21"/>
      <c r="AR206" s="21"/>
    </row>
    <row r="207" spans="1:44" s="254" customFormat="1" ht="15">
      <c r="A207" s="975" t="s">
        <v>545</v>
      </c>
      <c r="B207" s="865">
        <f>B25</f>
        <v>0</v>
      </c>
      <c r="C207" s="866">
        <f aca="true" t="shared" si="104" ref="C207:O207">C25</f>
        <v>0</v>
      </c>
      <c r="D207" s="866">
        <f t="shared" si="104"/>
        <v>0.0002386938504943291</v>
      </c>
      <c r="E207" s="866">
        <f t="shared" si="104"/>
        <v>0.0002237416937852545</v>
      </c>
      <c r="F207" s="866">
        <f t="shared" si="104"/>
        <v>0.0002098145144976252</v>
      </c>
      <c r="G207" s="866">
        <f t="shared" si="104"/>
        <v>0.0001968780340242089</v>
      </c>
      <c r="H207" s="866">
        <f t="shared" si="104"/>
        <v>0.00019127041108161984</v>
      </c>
      <c r="I207" s="866">
        <f t="shared" si="104"/>
        <v>0.00028370347148138795</v>
      </c>
      <c r="J207" s="866">
        <f t="shared" si="104"/>
        <v>0.0002751373499368907</v>
      </c>
      <c r="K207" s="866">
        <f t="shared" si="104"/>
        <v>0.0002666457678105696</v>
      </c>
      <c r="L207" s="866">
        <f t="shared" si="104"/>
        <v>0.00025841152508586075</v>
      </c>
      <c r="M207" s="866">
        <f t="shared" si="104"/>
        <v>0.0002504364864547354</v>
      </c>
      <c r="N207" s="866">
        <f t="shared" si="104"/>
        <v>0.0003379338588371115</v>
      </c>
      <c r="O207" s="867">
        <f t="shared" si="104"/>
        <v>0.0003269244470896268</v>
      </c>
      <c r="P207" s="35"/>
      <c r="Q207" s="35"/>
      <c r="R207" s="35"/>
      <c r="S207" s="35"/>
      <c r="T207" s="35"/>
      <c r="U207" s="35"/>
      <c r="V207" s="35"/>
      <c r="W207" s="35"/>
      <c r="X207" s="35"/>
      <c r="Y207" s="35"/>
      <c r="Z207" s="35"/>
      <c r="AA207" s="21"/>
      <c r="AB207" s="21"/>
      <c r="AC207" s="21"/>
      <c r="AD207" s="21"/>
      <c r="AE207" s="21"/>
      <c r="AF207" s="21"/>
      <c r="AG207" s="21"/>
      <c r="AH207" s="21"/>
      <c r="AI207" s="21"/>
      <c r="AJ207" s="21"/>
      <c r="AK207" s="21"/>
      <c r="AL207" s="21"/>
      <c r="AM207" s="21"/>
      <c r="AN207" s="21"/>
      <c r="AO207" s="21"/>
      <c r="AP207" s="21"/>
      <c r="AQ207" s="21"/>
      <c r="AR207" s="21"/>
    </row>
    <row r="208" spans="1:44" s="254" customFormat="1" ht="15">
      <c r="A208" s="864" t="s">
        <v>546</v>
      </c>
      <c r="B208" s="865">
        <f>B43</f>
        <v>0</v>
      </c>
      <c r="C208" s="866">
        <f aca="true" t="shared" si="105" ref="C208:O208">C43</f>
        <v>0</v>
      </c>
      <c r="D208" s="866">
        <f t="shared" si="105"/>
        <v>0.0004773877009886582</v>
      </c>
      <c r="E208" s="866">
        <f t="shared" si="105"/>
        <v>0.000447483387570509</v>
      </c>
      <c r="F208" s="866">
        <f t="shared" si="105"/>
        <v>0.0004196290289952504</v>
      </c>
      <c r="G208" s="866">
        <f t="shared" si="105"/>
        <v>0.0003937560680484178</v>
      </c>
      <c r="H208" s="866">
        <f t="shared" si="105"/>
        <v>0.0003825408221632397</v>
      </c>
      <c r="I208" s="866">
        <f t="shared" si="105"/>
        <v>0.0005019955543440779</v>
      </c>
      <c r="J208" s="866">
        <f t="shared" si="105"/>
        <v>0.00048683833786429743</v>
      </c>
      <c r="K208" s="866">
        <f t="shared" si="105"/>
        <v>0.0004718130142244333</v>
      </c>
      <c r="L208" s="866">
        <f t="shared" si="105"/>
        <v>0.00045724303656568215</v>
      </c>
      <c r="M208" s="866">
        <f t="shared" si="105"/>
        <v>0.0004431317043438986</v>
      </c>
      <c r="N208" s="866">
        <f t="shared" si="105"/>
        <v>0.0005563190132152689</v>
      </c>
      <c r="O208" s="867">
        <f t="shared" si="105"/>
        <v>0.0005381949190492759</v>
      </c>
      <c r="P208" s="35"/>
      <c r="Q208" s="35"/>
      <c r="R208" s="35"/>
      <c r="S208" s="35"/>
      <c r="T208" s="35"/>
      <c r="U208" s="35"/>
      <c r="V208" s="35"/>
      <c r="W208" s="35"/>
      <c r="X208" s="35"/>
      <c r="Y208" s="35"/>
      <c r="Z208" s="35"/>
      <c r="AA208" s="21"/>
      <c r="AB208" s="21"/>
      <c r="AC208" s="21"/>
      <c r="AD208" s="21"/>
      <c r="AE208" s="21"/>
      <c r="AF208" s="21"/>
      <c r="AG208" s="21"/>
      <c r="AH208" s="21"/>
      <c r="AI208" s="21"/>
      <c r="AJ208" s="21"/>
      <c r="AK208" s="21"/>
      <c r="AL208" s="21"/>
      <c r="AM208" s="21"/>
      <c r="AN208" s="21"/>
      <c r="AO208" s="21"/>
      <c r="AP208" s="21"/>
      <c r="AQ208" s="21"/>
      <c r="AR208" s="21"/>
    </row>
    <row r="209" spans="1:44" s="254" customFormat="1" ht="15">
      <c r="A209" s="864" t="s">
        <v>543</v>
      </c>
      <c r="B209" s="865">
        <f>B76</f>
        <v>0</v>
      </c>
      <c r="C209" s="866">
        <f aca="true" t="shared" si="106" ref="C209:O209">C76</f>
        <v>0</v>
      </c>
      <c r="D209" s="866">
        <f t="shared" si="106"/>
        <v>0.0006234388913286541</v>
      </c>
      <c r="E209" s="866">
        <f t="shared" si="106"/>
        <v>0.0005888627439262673</v>
      </c>
      <c r="F209" s="866">
        <f t="shared" si="106"/>
        <v>0.0005482991918305773</v>
      </c>
      <c r="G209" s="866">
        <f t="shared" si="106"/>
        <v>0.0005051251542143097</v>
      </c>
      <c r="H209" s="866">
        <f t="shared" si="106"/>
        <v>0.0004961190285681591</v>
      </c>
      <c r="I209" s="866">
        <f t="shared" si="106"/>
        <v>0.0006293589185416614</v>
      </c>
      <c r="J209" s="866">
        <f t="shared" si="106"/>
        <v>0.0006073685549562283</v>
      </c>
      <c r="K209" s="866">
        <f t="shared" si="106"/>
        <v>0.0005835872132891899</v>
      </c>
      <c r="L209" s="866">
        <f t="shared" si="106"/>
        <v>0.0005596616579881272</v>
      </c>
      <c r="M209" s="866">
        <f t="shared" si="106"/>
        <v>0.0005557712805842382</v>
      </c>
      <c r="N209" s="866">
        <f t="shared" si="106"/>
        <v>0.0006930635588704298</v>
      </c>
      <c r="O209" s="867">
        <f t="shared" si="106"/>
        <v>0.0006785908420030782</v>
      </c>
      <c r="P209" s="35"/>
      <c r="Q209" s="35"/>
      <c r="R209" s="35"/>
      <c r="S209" s="35"/>
      <c r="T209" s="35"/>
      <c r="U209" s="35"/>
      <c r="V209" s="35"/>
      <c r="W209" s="35"/>
      <c r="X209" s="35"/>
      <c r="Y209" s="35"/>
      <c r="Z209" s="35"/>
      <c r="AA209" s="21"/>
      <c r="AB209" s="21"/>
      <c r="AC209" s="21"/>
      <c r="AD209" s="21"/>
      <c r="AE209" s="21"/>
      <c r="AF209" s="21"/>
      <c r="AG209" s="21"/>
      <c r="AH209" s="21"/>
      <c r="AI209" s="21"/>
      <c r="AJ209" s="21"/>
      <c r="AK209" s="21"/>
      <c r="AL209" s="21"/>
      <c r="AM209" s="21"/>
      <c r="AN209" s="21"/>
      <c r="AO209" s="21"/>
      <c r="AP209" s="21"/>
      <c r="AQ209" s="21"/>
      <c r="AR209" s="21"/>
    </row>
    <row r="210" spans="1:44" s="254" customFormat="1" ht="15">
      <c r="A210" s="864" t="s">
        <v>544</v>
      </c>
      <c r="B210" s="865">
        <f>B108</f>
        <v>0</v>
      </c>
      <c r="C210" s="866">
        <f aca="true" t="shared" si="107" ref="C210:O210">C108</f>
        <v>0</v>
      </c>
      <c r="D210" s="866">
        <f t="shared" si="107"/>
        <v>0.0018273789719363152</v>
      </c>
      <c r="E210" s="866">
        <f t="shared" si="107"/>
        <v>0.0017251461309286532</v>
      </c>
      <c r="F210" s="866">
        <f t="shared" si="107"/>
        <v>0.0016271255531937689</v>
      </c>
      <c r="G210" s="866">
        <f t="shared" si="107"/>
        <v>0.0015342184004992264</v>
      </c>
      <c r="H210" s="866">
        <f t="shared" si="107"/>
        <v>0.001509305920521681</v>
      </c>
      <c r="I210" s="866">
        <f t="shared" si="107"/>
        <v>0.0017849920091454897</v>
      </c>
      <c r="J210" s="866">
        <f t="shared" si="107"/>
        <v>0.0017483131240364758</v>
      </c>
      <c r="K210" s="866">
        <f t="shared" si="107"/>
        <v>0.001710910640975913</v>
      </c>
      <c r="L210" s="866">
        <f t="shared" si="107"/>
        <v>0.0016749062314006433</v>
      </c>
      <c r="M210" s="866">
        <f t="shared" si="107"/>
        <v>0.0016533600827126603</v>
      </c>
      <c r="N210" s="866">
        <f t="shared" si="107"/>
        <v>0.0019415337142989707</v>
      </c>
      <c r="O210" s="867">
        <f t="shared" si="107"/>
        <v>0.0019086686312614</v>
      </c>
      <c r="P210" s="35"/>
      <c r="Q210" s="35"/>
      <c r="R210" s="35"/>
      <c r="S210" s="35"/>
      <c r="T210" s="35"/>
      <c r="U210" s="35"/>
      <c r="V210" s="35"/>
      <c r="W210" s="35"/>
      <c r="X210" s="35"/>
      <c r="Y210" s="35"/>
      <c r="Z210" s="35"/>
      <c r="AA210" s="21"/>
      <c r="AB210" s="21"/>
      <c r="AC210" s="21"/>
      <c r="AD210" s="21"/>
      <c r="AE210" s="21"/>
      <c r="AF210" s="21"/>
      <c r="AG210" s="21"/>
      <c r="AH210" s="21"/>
      <c r="AI210" s="21"/>
      <c r="AJ210" s="21"/>
      <c r="AK210" s="21"/>
      <c r="AL210" s="21"/>
      <c r="AM210" s="21"/>
      <c r="AN210" s="21"/>
      <c r="AO210" s="21"/>
      <c r="AP210" s="21"/>
      <c r="AQ210" s="21"/>
      <c r="AR210" s="21"/>
    </row>
    <row r="211" spans="1:44" s="254" customFormat="1" ht="15">
      <c r="A211" s="864" t="s">
        <v>548</v>
      </c>
      <c r="B211" s="865">
        <f>B128</f>
        <v>0</v>
      </c>
      <c r="C211" s="866">
        <f aca="true" t="shared" si="108" ref="C211:O211">C128</f>
        <v>0</v>
      </c>
      <c r="D211" s="866">
        <f t="shared" si="108"/>
        <v>0.0029860758656619175</v>
      </c>
      <c r="E211" s="866">
        <f t="shared" si="108"/>
        <v>0.0028270636429884423</v>
      </c>
      <c r="F211" s="866">
        <f t="shared" si="108"/>
        <v>0.002677838847046694</v>
      </c>
      <c r="G211" s="866">
        <f t="shared" si="108"/>
        <v>0.002538272045581503</v>
      </c>
      <c r="H211" s="866">
        <f t="shared" si="108"/>
        <v>0.0024912253336743058</v>
      </c>
      <c r="I211" s="866">
        <f t="shared" si="108"/>
        <v>0.0029404542782041202</v>
      </c>
      <c r="J211" s="866">
        <f t="shared" si="108"/>
        <v>0.002880625674014217</v>
      </c>
      <c r="K211" s="866">
        <f t="shared" si="108"/>
        <v>0.00282029070277677</v>
      </c>
      <c r="L211" s="866">
        <f t="shared" si="108"/>
        <v>0.0027613916617828826</v>
      </c>
      <c r="M211" s="866">
        <f t="shared" si="108"/>
        <v>0.0027039981037166984</v>
      </c>
      <c r="N211" s="866">
        <f t="shared" si="108"/>
        <v>0.0031528284071619017</v>
      </c>
      <c r="O211" s="867">
        <f t="shared" si="108"/>
        <v>0.00308177644273948</v>
      </c>
      <c r="P211" s="35"/>
      <c r="Q211" s="35"/>
      <c r="R211" s="35"/>
      <c r="S211" s="35"/>
      <c r="T211" s="35"/>
      <c r="U211" s="35"/>
      <c r="V211" s="35"/>
      <c r="W211" s="35"/>
      <c r="X211" s="35"/>
      <c r="Y211" s="35"/>
      <c r="Z211" s="35"/>
      <c r="AA211" s="21"/>
      <c r="AB211" s="21"/>
      <c r="AC211" s="21"/>
      <c r="AD211" s="21"/>
      <c r="AE211" s="21"/>
      <c r="AF211" s="21"/>
      <c r="AG211" s="21"/>
      <c r="AH211" s="21"/>
      <c r="AI211" s="21"/>
      <c r="AJ211" s="21"/>
      <c r="AK211" s="21"/>
      <c r="AL211" s="21"/>
      <c r="AM211" s="21"/>
      <c r="AN211" s="21"/>
      <c r="AO211" s="21"/>
      <c r="AP211" s="21"/>
      <c r="AQ211" s="21"/>
      <c r="AR211" s="21"/>
    </row>
    <row r="212" spans="1:44" s="254" customFormat="1" ht="15">
      <c r="A212" s="864" t="s">
        <v>549</v>
      </c>
      <c r="B212" s="865">
        <f>B148</f>
        <v>0</v>
      </c>
      <c r="C212" s="866">
        <f aca="true" t="shared" si="109" ref="C212:O212">C148</f>
        <v>0</v>
      </c>
      <c r="D212" s="866">
        <f t="shared" si="109"/>
        <v>0.004146743497276688</v>
      </c>
      <c r="E212" s="866">
        <f t="shared" si="109"/>
        <v>0.003924371985052695</v>
      </c>
      <c r="F212" s="866">
        <f t="shared" si="109"/>
        <v>0.0037157602300509057</v>
      </c>
      <c r="G212" s="866">
        <f t="shared" si="109"/>
        <v>0.0035207119160542387</v>
      </c>
      <c r="H212" s="866">
        <f t="shared" si="109"/>
        <v>0.0034540993703730764</v>
      </c>
      <c r="I212" s="866">
        <f t="shared" si="109"/>
        <v>0.004049134788901335</v>
      </c>
      <c r="J212" s="866">
        <f t="shared" si="109"/>
        <v>0.003965482519013942</v>
      </c>
      <c r="K212" s="866">
        <f t="shared" si="109"/>
        <v>0.003881188862417956</v>
      </c>
      <c r="L212" s="866">
        <f t="shared" si="109"/>
        <v>0.0037989263645805274</v>
      </c>
      <c r="M212" s="866">
        <f t="shared" si="109"/>
        <v>0.0037187886071943185</v>
      </c>
      <c r="N212" s="866">
        <f t="shared" si="109"/>
        <v>0.004313618172849582</v>
      </c>
      <c r="O212" s="867">
        <f t="shared" si="109"/>
        <v>0.004215303560094248</v>
      </c>
      <c r="P212" s="35"/>
      <c r="Q212" s="35"/>
      <c r="R212" s="35"/>
      <c r="S212" s="35"/>
      <c r="T212" s="35"/>
      <c r="U212" s="35"/>
      <c r="V212" s="35"/>
      <c r="W212" s="35"/>
      <c r="X212" s="35"/>
      <c r="Y212" s="35"/>
      <c r="Z212" s="35"/>
      <c r="AA212" s="21"/>
      <c r="AB212" s="21"/>
      <c r="AC212" s="21"/>
      <c r="AD212" s="21"/>
      <c r="AE212" s="21"/>
      <c r="AF212" s="21"/>
      <c r="AG212" s="21"/>
      <c r="AH212" s="21"/>
      <c r="AI212" s="21"/>
      <c r="AJ212" s="21"/>
      <c r="AK212" s="21"/>
      <c r="AL212" s="21"/>
      <c r="AM212" s="21"/>
      <c r="AN212" s="21"/>
      <c r="AO212" s="21"/>
      <c r="AP212" s="21"/>
      <c r="AQ212" s="21"/>
      <c r="AR212" s="21"/>
    </row>
    <row r="213" spans="1:15" ht="15">
      <c r="A213" s="864" t="s">
        <v>547</v>
      </c>
      <c r="B213" s="865">
        <f aca="true" t="shared" si="110" ref="B213:O213">B167</f>
        <v>0</v>
      </c>
      <c r="C213" s="866">
        <f t="shared" si="110"/>
        <v>0</v>
      </c>
      <c r="D213" s="866">
        <f t="shared" si="110"/>
        <v>0.004103812594125811</v>
      </c>
      <c r="E213" s="866">
        <f t="shared" si="110"/>
        <v>0.0038837846223343346</v>
      </c>
      <c r="F213" s="866">
        <f t="shared" si="110"/>
        <v>0.003677369478764092</v>
      </c>
      <c r="G213" s="866">
        <f t="shared" si="110"/>
        <v>0.003484373321109409</v>
      </c>
      <c r="H213" s="866">
        <f t="shared" si="110"/>
        <v>0.0034184844786589873</v>
      </c>
      <c r="I213" s="866">
        <f t="shared" si="110"/>
        <v>0.004008126791147674</v>
      </c>
      <c r="J213" s="866">
        <f t="shared" si="110"/>
        <v>0.003925355713650675</v>
      </c>
      <c r="K213" s="866">
        <f t="shared" si="110"/>
        <v>0.0038419482435672904</v>
      </c>
      <c r="L213" s="866">
        <f t="shared" si="110"/>
        <v>0.0037605499158641013</v>
      </c>
      <c r="M213" s="866">
        <f t="shared" si="110"/>
        <v>0.003681253423446137</v>
      </c>
      <c r="N213" s="866">
        <f t="shared" si="110"/>
        <v>0.004270682752190064</v>
      </c>
      <c r="O213" s="867">
        <f t="shared" si="110"/>
        <v>0.004173376533296451</v>
      </c>
    </row>
    <row r="214" spans="1:15" ht="15">
      <c r="A214" s="876" t="s">
        <v>632</v>
      </c>
      <c r="B214" s="871">
        <f>B185</f>
        <v>0</v>
      </c>
      <c r="C214" s="872">
        <f aca="true" t="shared" si="111" ref="C214:O214">C185</f>
        <v>0</v>
      </c>
      <c r="D214" s="872">
        <f t="shared" si="111"/>
        <v>0.005637059135228545</v>
      </c>
      <c r="E214" s="872">
        <f t="shared" si="111"/>
        <v>0.005333333290847218</v>
      </c>
      <c r="F214" s="872">
        <f t="shared" si="111"/>
        <v>0.005048467739007436</v>
      </c>
      <c r="G214" s="872">
        <f t="shared" si="111"/>
        <v>0.00478218028342478</v>
      </c>
      <c r="H214" s="872">
        <f t="shared" si="111"/>
        <v>0.004690444897019318</v>
      </c>
      <c r="I214" s="872">
        <f t="shared" si="111"/>
        <v>0.005472698139492739</v>
      </c>
      <c r="J214" s="872">
        <f t="shared" si="111"/>
        <v>0.005358455905195886</v>
      </c>
      <c r="K214" s="872">
        <f t="shared" si="111"/>
        <v>0.005243398916805319</v>
      </c>
      <c r="L214" s="872">
        <f t="shared" si="111"/>
        <v>0.0051311373700221544</v>
      </c>
      <c r="M214" s="872">
        <f t="shared" si="111"/>
        <v>0.005021795700166904</v>
      </c>
      <c r="N214" s="872">
        <f t="shared" si="111"/>
        <v>0.005804090632887134</v>
      </c>
      <c r="O214" s="873">
        <f t="shared" si="111"/>
        <v>0.005670770347503543</v>
      </c>
    </row>
    <row r="215" spans="1:15" ht="15">
      <c r="A215" s="259" t="s">
        <v>607</v>
      </c>
      <c r="B215" s="865"/>
      <c r="C215" s="866"/>
      <c r="D215" s="866"/>
      <c r="E215" s="866"/>
      <c r="F215" s="866"/>
      <c r="G215" s="866"/>
      <c r="H215" s="866"/>
      <c r="I215" s="866"/>
      <c r="J215" s="866"/>
      <c r="K215" s="866"/>
      <c r="L215" s="866"/>
      <c r="M215" s="866"/>
      <c r="N215" s="866"/>
      <c r="O215" s="875"/>
    </row>
    <row r="216" spans="1:15" ht="15">
      <c r="A216" s="863" t="str">
        <f aca="true" t="shared" si="112" ref="A216:A222">A207</f>
        <v>Scenario 1: Provide a social pension of PHP750 per month, indexed inflation, to all poor elderly aged 60+</v>
      </c>
      <c r="B216" s="877">
        <f aca="true" t="shared" si="113" ref="B216:I216">B14</f>
        <v>0</v>
      </c>
      <c r="C216" s="879">
        <f t="shared" si="113"/>
        <v>0</v>
      </c>
      <c r="D216" s="879">
        <f t="shared" si="113"/>
        <v>1280.2110612244894</v>
      </c>
      <c r="E216" s="879">
        <f t="shared" si="113"/>
        <v>1320.2966938775508</v>
      </c>
      <c r="F216" s="879">
        <f t="shared" si="113"/>
        <v>1360.936928571428</v>
      </c>
      <c r="G216" s="879">
        <f t="shared" si="113"/>
        <v>1402.094571428571</v>
      </c>
      <c r="H216" s="879">
        <f t="shared" si="113"/>
        <v>1443.8886428571427</v>
      </c>
      <c r="I216" s="879">
        <f t="shared" si="113"/>
        <v>1485.0391224489792</v>
      </c>
      <c r="J216" s="879">
        <f aca="true" t="shared" si="114" ref="J216:O216">J14</f>
        <v>1526.6119591836732</v>
      </c>
      <c r="K216" s="879">
        <f t="shared" si="114"/>
        <v>1568.2657959183673</v>
      </c>
      <c r="L216" s="879">
        <f t="shared" si="114"/>
        <v>1611.026632653061</v>
      </c>
      <c r="M216" s="879">
        <f t="shared" si="114"/>
        <v>1654.98593877551</v>
      </c>
      <c r="N216" s="879">
        <f t="shared" si="114"/>
        <v>1698.4542857142856</v>
      </c>
      <c r="O216" s="881">
        <f t="shared" si="114"/>
        <v>1741.7082857142857</v>
      </c>
    </row>
    <row r="217" spans="1:15" ht="15">
      <c r="A217" s="864" t="str">
        <f t="shared" si="112"/>
        <v xml:space="preserve">Scenario 2: Provide a social pension of PHP1,000 per month, indexed inflation, to all poor elderly aged 60+ </v>
      </c>
      <c r="B217" s="877">
        <f aca="true" t="shared" si="115" ref="B217:I217">B32</f>
        <v>0</v>
      </c>
      <c r="C217" s="879">
        <f t="shared" si="115"/>
        <v>0</v>
      </c>
      <c r="D217" s="879">
        <f t="shared" si="115"/>
        <v>1280.2110612244894</v>
      </c>
      <c r="E217" s="879">
        <f t="shared" si="115"/>
        <v>1320.2966938775508</v>
      </c>
      <c r="F217" s="879">
        <f t="shared" si="115"/>
        <v>1360.936928571428</v>
      </c>
      <c r="G217" s="879">
        <f t="shared" si="115"/>
        <v>1402.094571428571</v>
      </c>
      <c r="H217" s="879">
        <f t="shared" si="115"/>
        <v>1443.8886428571427</v>
      </c>
      <c r="I217" s="879">
        <f t="shared" si="115"/>
        <v>1485.0391224489792</v>
      </c>
      <c r="J217" s="879">
        <f aca="true" t="shared" si="116" ref="J217:O217">J32</f>
        <v>1526.6119591836732</v>
      </c>
      <c r="K217" s="879">
        <f t="shared" si="116"/>
        <v>1568.2657959183673</v>
      </c>
      <c r="L217" s="879">
        <f t="shared" si="116"/>
        <v>1611.026632653061</v>
      </c>
      <c r="M217" s="879">
        <f t="shared" si="116"/>
        <v>1654.98593877551</v>
      </c>
      <c r="N217" s="879">
        <f t="shared" si="116"/>
        <v>1698.4542857142856</v>
      </c>
      <c r="O217" s="881">
        <f t="shared" si="116"/>
        <v>1741.7082857142857</v>
      </c>
    </row>
    <row r="218" spans="1:15" ht="15">
      <c r="A218" s="864" t="str">
        <f t="shared" si="112"/>
        <v>Scenario 3a: Provide a social pension for 60+ year olds, and universal pension for 80+ year olds</v>
      </c>
      <c r="B218" s="877">
        <f aca="true" t="shared" si="117" ref="B218:O218">B52+B63</f>
        <v>0</v>
      </c>
      <c r="C218" s="879">
        <f t="shared" si="117"/>
        <v>0</v>
      </c>
      <c r="D218" s="879">
        <f t="shared" si="117"/>
        <v>1852.7532346938772</v>
      </c>
      <c r="E218" s="879">
        <f t="shared" si="117"/>
        <v>1918.969326530612</v>
      </c>
      <c r="F218" s="879">
        <f t="shared" si="117"/>
        <v>1971.525153061224</v>
      </c>
      <c r="G218" s="879">
        <f t="shared" si="117"/>
        <v>2012.840489795918</v>
      </c>
      <c r="H218" s="879">
        <f t="shared" si="117"/>
        <v>2085.1657857142854</v>
      </c>
      <c r="I218" s="879">
        <f t="shared" si="117"/>
        <v>2146.8019591836733</v>
      </c>
      <c r="J218" s="879">
        <f t="shared" si="117"/>
        <v>2201.304989795918</v>
      </c>
      <c r="K218" s="879">
        <f t="shared" si="117"/>
        <v>2250.840081632653</v>
      </c>
      <c r="L218" s="879">
        <f t="shared" si="117"/>
        <v>2298.956326530612</v>
      </c>
      <c r="M218" s="879">
        <f t="shared" si="117"/>
        <v>2395.9225306122444</v>
      </c>
      <c r="N218" s="879">
        <f t="shared" si="117"/>
        <v>2485.7494285714283</v>
      </c>
      <c r="O218" s="881">
        <f t="shared" si="117"/>
        <v>2569.534</v>
      </c>
    </row>
    <row r="219" spans="1:15" ht="15">
      <c r="A219" s="864" t="str">
        <f t="shared" si="112"/>
        <v>Scenario 3b: Provide a social pension for 60+ year olds, and universal pension for 70+ year olds</v>
      </c>
      <c r="B219" s="877">
        <f aca="true" t="shared" si="118" ref="B219:O219">B83+B94</f>
        <v>0</v>
      </c>
      <c r="C219" s="879">
        <f t="shared" si="118"/>
        <v>0</v>
      </c>
      <c r="D219" s="879">
        <f t="shared" si="118"/>
        <v>3688.5766020408164</v>
      </c>
      <c r="E219" s="879">
        <f t="shared" si="118"/>
        <v>3827.5007346938773</v>
      </c>
      <c r="F219" s="879">
        <f t="shared" si="118"/>
        <v>3965.6087346938775</v>
      </c>
      <c r="G219" s="879">
        <f t="shared" si="118"/>
        <v>4103.697551020408</v>
      </c>
      <c r="H219" s="879">
        <f t="shared" si="118"/>
        <v>4269.727</v>
      </c>
      <c r="I219" s="879">
        <f t="shared" si="118"/>
        <v>4432.123428571428</v>
      </c>
      <c r="J219" s="879">
        <f t="shared" si="118"/>
        <v>4595.3224183673465</v>
      </c>
      <c r="K219" s="879">
        <f t="shared" si="118"/>
        <v>4760.678448979592</v>
      </c>
      <c r="L219" s="879">
        <f t="shared" si="118"/>
        <v>4933.472265306123</v>
      </c>
      <c r="M219" s="879">
        <f t="shared" si="118"/>
        <v>5147.000530612245</v>
      </c>
      <c r="N219" s="879">
        <f t="shared" si="118"/>
        <v>5359.717520408163</v>
      </c>
      <c r="O219" s="881">
        <f t="shared" si="118"/>
        <v>5573.6025714285715</v>
      </c>
    </row>
    <row r="220" spans="1:15" ht="15">
      <c r="A220" s="864" t="str">
        <f t="shared" si="112"/>
        <v>Scenario 4: Provide a social pension of PHP750 per month, indexed inflation, to all elderly aged 60+ without pension</v>
      </c>
      <c r="B220" s="877">
        <f aca="true" t="shared" si="119" ref="B220:I220">B117</f>
        <v>0</v>
      </c>
      <c r="C220" s="879">
        <f t="shared" si="119"/>
        <v>0</v>
      </c>
      <c r="D220" s="879">
        <f t="shared" si="119"/>
        <v>5992.412</v>
      </c>
      <c r="E220" s="879">
        <f t="shared" si="119"/>
        <v>6233.138</v>
      </c>
      <c r="F220" s="879">
        <f t="shared" si="119"/>
        <v>6480.677</v>
      </c>
      <c r="G220" s="879">
        <f t="shared" si="119"/>
        <v>6735.029</v>
      </c>
      <c r="H220" s="879">
        <f t="shared" si="119"/>
        <v>6996.951</v>
      </c>
      <c r="I220" s="879">
        <f t="shared" si="119"/>
        <v>7260.387</v>
      </c>
      <c r="J220" s="879">
        <f aca="true" t="shared" si="120" ref="J220:O220">J117</f>
        <v>7530.636</v>
      </c>
      <c r="K220" s="879">
        <f t="shared" si="120"/>
        <v>7806.184</v>
      </c>
      <c r="L220" s="879">
        <f t="shared" si="120"/>
        <v>8092.33</v>
      </c>
      <c r="M220" s="879">
        <f t="shared" si="120"/>
        <v>8389.831</v>
      </c>
      <c r="N220" s="879">
        <f t="shared" si="120"/>
        <v>8690.36</v>
      </c>
      <c r="O220" s="881">
        <f t="shared" si="120"/>
        <v>8995.431</v>
      </c>
    </row>
    <row r="221" spans="1:15" ht="15">
      <c r="A221" s="864" t="str">
        <f t="shared" si="112"/>
        <v>Scenario 5: Provide a social pension of PHP1,000 per month, indexed inflation, to all elderly aged 60+ without pension</v>
      </c>
      <c r="B221" s="877">
        <f aca="true" t="shared" si="121" ref="B221:I221">B137</f>
        <v>0</v>
      </c>
      <c r="C221" s="879">
        <f t="shared" si="121"/>
        <v>0</v>
      </c>
      <c r="D221" s="879">
        <f t="shared" si="121"/>
        <v>5992.412</v>
      </c>
      <c r="E221" s="879">
        <f t="shared" si="121"/>
        <v>6233.138</v>
      </c>
      <c r="F221" s="879">
        <f t="shared" si="121"/>
        <v>6480.677</v>
      </c>
      <c r="G221" s="879">
        <f t="shared" si="121"/>
        <v>6735.029</v>
      </c>
      <c r="H221" s="879">
        <f t="shared" si="121"/>
        <v>6996.951</v>
      </c>
      <c r="I221" s="879">
        <f t="shared" si="121"/>
        <v>7260.387</v>
      </c>
      <c r="J221" s="879">
        <f aca="true" t="shared" si="122" ref="J221:O221">J137</f>
        <v>7530.636</v>
      </c>
      <c r="K221" s="879">
        <f t="shared" si="122"/>
        <v>7806.184</v>
      </c>
      <c r="L221" s="879">
        <f t="shared" si="122"/>
        <v>8092.33</v>
      </c>
      <c r="M221" s="879">
        <f t="shared" si="122"/>
        <v>8389.831</v>
      </c>
      <c r="N221" s="879">
        <f t="shared" si="122"/>
        <v>8690.36</v>
      </c>
      <c r="O221" s="881">
        <f t="shared" si="122"/>
        <v>8995.431</v>
      </c>
    </row>
    <row r="222" spans="1:16" ht="15">
      <c r="A222" s="876" t="str">
        <f t="shared" si="112"/>
        <v>Scenario 6: Provide a social pension of PHP750 per month, indexed inflation, to all senior citizens aged 60+</v>
      </c>
      <c r="B222" s="878">
        <f aca="true" t="shared" si="123" ref="B222:I222">B156</f>
        <v>0</v>
      </c>
      <c r="C222" s="880">
        <f t="shared" si="123"/>
        <v>0</v>
      </c>
      <c r="D222" s="880">
        <f t="shared" si="123"/>
        <v>7916</v>
      </c>
      <c r="E222" s="880">
        <f t="shared" si="123"/>
        <v>8234</v>
      </c>
      <c r="F222" s="880">
        <f t="shared" si="123"/>
        <v>8561</v>
      </c>
      <c r="G222" s="880">
        <f t="shared" si="123"/>
        <v>8897</v>
      </c>
      <c r="H222" s="880">
        <f t="shared" si="123"/>
        <v>9243</v>
      </c>
      <c r="I222" s="880">
        <f t="shared" si="123"/>
        <v>9591</v>
      </c>
      <c r="J222" s="880">
        <f aca="true" t="shared" si="124" ref="J222:O222">J156</f>
        <v>9948</v>
      </c>
      <c r="K222" s="880">
        <f t="shared" si="124"/>
        <v>10312</v>
      </c>
      <c r="L222" s="880">
        <f t="shared" si="124"/>
        <v>10690</v>
      </c>
      <c r="M222" s="880">
        <f t="shared" si="124"/>
        <v>11083</v>
      </c>
      <c r="N222" s="880">
        <f t="shared" si="124"/>
        <v>11480</v>
      </c>
      <c r="O222" s="882">
        <f t="shared" si="124"/>
        <v>11883</v>
      </c>
      <c r="P222" s="279"/>
    </row>
    <row r="223" ht="15">
      <c r="O223" s="907"/>
    </row>
    <row r="224" spans="1:15" ht="15">
      <c r="A224" s="893" t="s">
        <v>550</v>
      </c>
      <c r="B224" s="884"/>
      <c r="C224" s="885"/>
      <c r="D224" s="885">
        <f aca="true" t="shared" si="125" ref="D224:I224">D216/D$222</f>
        <v>0.16172448979591833</v>
      </c>
      <c r="E224" s="885">
        <f t="shared" si="125"/>
        <v>0.16034693877551018</v>
      </c>
      <c r="F224" s="885">
        <f t="shared" si="125"/>
        <v>0.158969387755102</v>
      </c>
      <c r="G224" s="885">
        <f t="shared" si="125"/>
        <v>0.15759183673469385</v>
      </c>
      <c r="H224" s="885">
        <f t="shared" si="125"/>
        <v>0.1562142857142857</v>
      </c>
      <c r="I224" s="885">
        <f t="shared" si="125"/>
        <v>0.15483673469387751</v>
      </c>
      <c r="J224" s="885">
        <f aca="true" t="shared" si="126" ref="J224:O224">J216/J$222</f>
        <v>0.15345918367346936</v>
      </c>
      <c r="K224" s="885">
        <f t="shared" si="126"/>
        <v>0.1520816326530612</v>
      </c>
      <c r="L224" s="885">
        <f t="shared" si="126"/>
        <v>0.15070408163265303</v>
      </c>
      <c r="M224" s="885">
        <f t="shared" si="126"/>
        <v>0.14932653061224488</v>
      </c>
      <c r="N224" s="885">
        <f t="shared" si="126"/>
        <v>0.14794897959183673</v>
      </c>
      <c r="O224" s="890">
        <f t="shared" si="126"/>
        <v>0.14657142857142857</v>
      </c>
    </row>
    <row r="225" spans="1:15" ht="15">
      <c r="A225" s="864" t="s">
        <v>551</v>
      </c>
      <c r="B225" s="886"/>
      <c r="C225" s="887"/>
      <c r="D225" s="887">
        <f aca="true" t="shared" si="127" ref="D225:I227">D218/D$222</f>
        <v>0.2340516971568819</v>
      </c>
      <c r="E225" s="887">
        <f t="shared" si="127"/>
        <v>0.23305432675863638</v>
      </c>
      <c r="F225" s="887">
        <f t="shared" si="127"/>
        <v>0.23029145579502674</v>
      </c>
      <c r="G225" s="887">
        <f t="shared" si="127"/>
        <v>0.22623811282408882</v>
      </c>
      <c r="H225" s="887">
        <f t="shared" si="127"/>
        <v>0.2255940480054404</v>
      </c>
      <c r="I225" s="887">
        <f t="shared" si="127"/>
        <v>0.22383504944048307</v>
      </c>
      <c r="J225" s="887">
        <f aca="true" t="shared" si="128" ref="J225:O225">J218/J$222</f>
        <v>0.22128116101687959</v>
      </c>
      <c r="K225" s="887">
        <f t="shared" si="128"/>
        <v>0.2182738636183721</v>
      </c>
      <c r="L225" s="887">
        <f t="shared" si="128"/>
        <v>0.2150567190393463</v>
      </c>
      <c r="M225" s="887">
        <f t="shared" si="128"/>
        <v>0.21617996306164797</v>
      </c>
      <c r="N225" s="887">
        <f t="shared" si="128"/>
        <v>0.21652869586859133</v>
      </c>
      <c r="O225" s="891">
        <f t="shared" si="128"/>
        <v>0.21623613565597913</v>
      </c>
    </row>
    <row r="226" spans="1:15" ht="15">
      <c r="A226" s="864" t="s">
        <v>552</v>
      </c>
      <c r="B226" s="886"/>
      <c r="C226" s="887"/>
      <c r="D226" s="887">
        <f t="shared" si="127"/>
        <v>0.4659647046539687</v>
      </c>
      <c r="E226" s="887">
        <f t="shared" si="127"/>
        <v>0.4648409927974104</v>
      </c>
      <c r="F226" s="887">
        <f t="shared" si="127"/>
        <v>0.4632179342008968</v>
      </c>
      <c r="G226" s="887">
        <f t="shared" si="127"/>
        <v>0.4612450883466796</v>
      </c>
      <c r="H226" s="887">
        <f t="shared" si="127"/>
        <v>0.46194168559991344</v>
      </c>
      <c r="I226" s="887">
        <f t="shared" si="127"/>
        <v>0.46211275451688333</v>
      </c>
      <c r="J226" s="887">
        <f aca="true" t="shared" si="129" ref="J226:O226">J219/J$222</f>
        <v>0.461934300197763</v>
      </c>
      <c r="K226" s="887">
        <f t="shared" si="129"/>
        <v>0.4616639302734282</v>
      </c>
      <c r="L226" s="887">
        <f t="shared" si="129"/>
        <v>0.46150348599683094</v>
      </c>
      <c r="M226" s="887">
        <f t="shared" si="129"/>
        <v>0.4644049923858382</v>
      </c>
      <c r="N226" s="887">
        <f t="shared" si="129"/>
        <v>0.46687434846761006</v>
      </c>
      <c r="O226" s="891">
        <f t="shared" si="129"/>
        <v>0.4690400211586781</v>
      </c>
    </row>
    <row r="227" spans="1:15" ht="15">
      <c r="A227" s="864" t="s">
        <v>553</v>
      </c>
      <c r="B227" s="886"/>
      <c r="C227" s="887"/>
      <c r="D227" s="887">
        <f t="shared" si="127"/>
        <v>0.757</v>
      </c>
      <c r="E227" s="887">
        <f t="shared" si="127"/>
        <v>0.757</v>
      </c>
      <c r="F227" s="887">
        <f t="shared" si="127"/>
        <v>0.757</v>
      </c>
      <c r="G227" s="887">
        <f t="shared" si="127"/>
        <v>0.757</v>
      </c>
      <c r="H227" s="887">
        <f t="shared" si="127"/>
        <v>0.757</v>
      </c>
      <c r="I227" s="887">
        <f t="shared" si="127"/>
        <v>0.757</v>
      </c>
      <c r="J227" s="887">
        <f aca="true" t="shared" si="130" ref="J227:O227">J220/J$222</f>
        <v>0.757</v>
      </c>
      <c r="K227" s="887">
        <f t="shared" si="130"/>
        <v>0.757</v>
      </c>
      <c r="L227" s="887">
        <f t="shared" si="130"/>
        <v>0.757</v>
      </c>
      <c r="M227" s="887">
        <f t="shared" si="130"/>
        <v>0.757</v>
      </c>
      <c r="N227" s="887">
        <f t="shared" si="130"/>
        <v>0.757</v>
      </c>
      <c r="O227" s="891">
        <f t="shared" si="130"/>
        <v>0.757</v>
      </c>
    </row>
    <row r="228" spans="1:15" ht="15">
      <c r="A228" s="876" t="s">
        <v>633</v>
      </c>
      <c r="B228" s="888"/>
      <c r="C228" s="889"/>
      <c r="D228" s="889">
        <f aca="true" t="shared" si="131" ref="D228:I228">D222/D$222</f>
        <v>1</v>
      </c>
      <c r="E228" s="889">
        <f t="shared" si="131"/>
        <v>1</v>
      </c>
      <c r="F228" s="889">
        <f t="shared" si="131"/>
        <v>1</v>
      </c>
      <c r="G228" s="889">
        <f t="shared" si="131"/>
        <v>1</v>
      </c>
      <c r="H228" s="889">
        <f t="shared" si="131"/>
        <v>1</v>
      </c>
      <c r="I228" s="889">
        <f t="shared" si="131"/>
        <v>1</v>
      </c>
      <c r="J228" s="889">
        <f aca="true" t="shared" si="132" ref="J228:O228">J222/J$222</f>
        <v>1</v>
      </c>
      <c r="K228" s="889">
        <f t="shared" si="132"/>
        <v>1</v>
      </c>
      <c r="L228" s="889">
        <f t="shared" si="132"/>
        <v>1</v>
      </c>
      <c r="M228" s="889">
        <f t="shared" si="132"/>
        <v>1</v>
      </c>
      <c r="N228" s="889">
        <f t="shared" si="132"/>
        <v>1</v>
      </c>
      <c r="O228" s="892">
        <f t="shared" si="132"/>
        <v>1</v>
      </c>
    </row>
    <row r="229" ht="15">
      <c r="O229" s="907"/>
    </row>
    <row r="230" spans="1:15" ht="15">
      <c r="A230" s="893" t="s">
        <v>550</v>
      </c>
      <c r="B230" s="884"/>
      <c r="C230" s="885"/>
      <c r="D230" s="885">
        <f aca="true" t="shared" si="133" ref="D230:I230">D224</f>
        <v>0.16172448979591833</v>
      </c>
      <c r="E230" s="885">
        <f t="shared" si="133"/>
        <v>0.16034693877551018</v>
      </c>
      <c r="F230" s="885">
        <f t="shared" si="133"/>
        <v>0.158969387755102</v>
      </c>
      <c r="G230" s="885">
        <f t="shared" si="133"/>
        <v>0.15759183673469385</v>
      </c>
      <c r="H230" s="885">
        <f t="shared" si="133"/>
        <v>0.1562142857142857</v>
      </c>
      <c r="I230" s="885">
        <f t="shared" si="133"/>
        <v>0.15483673469387751</v>
      </c>
      <c r="J230" s="885">
        <f aca="true" t="shared" si="134" ref="J230:O230">J224</f>
        <v>0.15345918367346936</v>
      </c>
      <c r="K230" s="885">
        <f t="shared" si="134"/>
        <v>0.1520816326530612</v>
      </c>
      <c r="L230" s="885">
        <f t="shared" si="134"/>
        <v>0.15070408163265303</v>
      </c>
      <c r="M230" s="885">
        <f t="shared" si="134"/>
        <v>0.14932653061224488</v>
      </c>
      <c r="N230" s="885">
        <f t="shared" si="134"/>
        <v>0.14794897959183673</v>
      </c>
      <c r="O230" s="890">
        <f t="shared" si="134"/>
        <v>0.14657142857142857</v>
      </c>
    </row>
    <row r="231" spans="1:15" ht="15">
      <c r="A231" s="864" t="s">
        <v>551</v>
      </c>
      <c r="B231" s="886"/>
      <c r="C231" s="887"/>
      <c r="D231" s="887">
        <f aca="true" t="shared" si="135" ref="D231:I231">D225-D224</f>
        <v>0.07232720736096357</v>
      </c>
      <c r="E231" s="887">
        <f t="shared" si="135"/>
        <v>0.0727073879831262</v>
      </c>
      <c r="F231" s="887">
        <f t="shared" si="135"/>
        <v>0.07132206803992475</v>
      </c>
      <c r="G231" s="887">
        <f t="shared" si="135"/>
        <v>0.06864627608939497</v>
      </c>
      <c r="H231" s="887">
        <f t="shared" si="135"/>
        <v>0.0693797622911547</v>
      </c>
      <c r="I231" s="887">
        <f t="shared" si="135"/>
        <v>0.06899831474660556</v>
      </c>
      <c r="J231" s="887">
        <f aca="true" t="shared" si="136" ref="J231:O231">J225-J224</f>
        <v>0.06782197734341022</v>
      </c>
      <c r="K231" s="887">
        <f t="shared" si="136"/>
        <v>0.06619223096531088</v>
      </c>
      <c r="L231" s="887">
        <f t="shared" si="136"/>
        <v>0.06435263740669328</v>
      </c>
      <c r="M231" s="887">
        <f t="shared" si="136"/>
        <v>0.06685343244940309</v>
      </c>
      <c r="N231" s="887">
        <f t="shared" si="136"/>
        <v>0.0685797162767546</v>
      </c>
      <c r="O231" s="891">
        <f t="shared" si="136"/>
        <v>0.06966470708455055</v>
      </c>
    </row>
    <row r="232" spans="1:15" ht="15">
      <c r="A232" s="864" t="s">
        <v>552</v>
      </c>
      <c r="B232" s="886"/>
      <c r="C232" s="887"/>
      <c r="D232" s="887">
        <f aca="true" t="shared" si="137" ref="D232:I234">D226-D225</f>
        <v>0.23191300749708682</v>
      </c>
      <c r="E232" s="887">
        <f t="shared" si="137"/>
        <v>0.23178666603877404</v>
      </c>
      <c r="F232" s="887">
        <f t="shared" si="137"/>
        <v>0.23292647840587005</v>
      </c>
      <c r="G232" s="887">
        <f t="shared" si="137"/>
        <v>0.23500697552259078</v>
      </c>
      <c r="H232" s="887">
        <f t="shared" si="137"/>
        <v>0.23634763759447305</v>
      </c>
      <c r="I232" s="887">
        <f t="shared" si="137"/>
        <v>0.23827770507640025</v>
      </c>
      <c r="J232" s="887">
        <f aca="true" t="shared" si="138" ref="J232:O232">J226-J225</f>
        <v>0.2406531391808834</v>
      </c>
      <c r="K232" s="887">
        <f t="shared" si="138"/>
        <v>0.24339006665505614</v>
      </c>
      <c r="L232" s="887">
        <f t="shared" si="138"/>
        <v>0.24644676695748463</v>
      </c>
      <c r="M232" s="887">
        <f t="shared" si="138"/>
        <v>0.24822502932419024</v>
      </c>
      <c r="N232" s="887">
        <f t="shared" si="138"/>
        <v>0.25034565259901875</v>
      </c>
      <c r="O232" s="891">
        <f t="shared" si="138"/>
        <v>0.25280388550269894</v>
      </c>
    </row>
    <row r="233" spans="1:15" ht="15">
      <c r="A233" s="864" t="s">
        <v>553</v>
      </c>
      <c r="B233" s="886"/>
      <c r="C233" s="887"/>
      <c r="D233" s="887">
        <f t="shared" si="137"/>
        <v>0.2910352953460313</v>
      </c>
      <c r="E233" s="887">
        <f t="shared" si="137"/>
        <v>0.2921590072025896</v>
      </c>
      <c r="F233" s="887">
        <f t="shared" si="137"/>
        <v>0.2937820657991032</v>
      </c>
      <c r="G233" s="887">
        <f t="shared" si="137"/>
        <v>0.2957549116533204</v>
      </c>
      <c r="H233" s="887">
        <f t="shared" si="137"/>
        <v>0.29505831440008656</v>
      </c>
      <c r="I233" s="887">
        <f t="shared" si="137"/>
        <v>0.2948872454831167</v>
      </c>
      <c r="J233" s="887">
        <f aca="true" t="shared" si="139" ref="J233:O233">J227-J226</f>
        <v>0.295065699802237</v>
      </c>
      <c r="K233" s="887">
        <f t="shared" si="139"/>
        <v>0.2953360697265718</v>
      </c>
      <c r="L233" s="887">
        <f t="shared" si="139"/>
        <v>0.29549651400316906</v>
      </c>
      <c r="M233" s="887">
        <f t="shared" si="139"/>
        <v>0.2925950076141618</v>
      </c>
      <c r="N233" s="887">
        <f t="shared" si="139"/>
        <v>0.29012565153238995</v>
      </c>
      <c r="O233" s="891">
        <f t="shared" si="139"/>
        <v>0.2879599788413219</v>
      </c>
    </row>
    <row r="234" spans="1:15" ht="15">
      <c r="A234" s="876" t="s">
        <v>633</v>
      </c>
      <c r="B234" s="888"/>
      <c r="C234" s="889"/>
      <c r="D234" s="889">
        <f t="shared" si="137"/>
        <v>0.243</v>
      </c>
      <c r="E234" s="889">
        <f t="shared" si="137"/>
        <v>0.243</v>
      </c>
      <c r="F234" s="889">
        <f t="shared" si="137"/>
        <v>0.243</v>
      </c>
      <c r="G234" s="889">
        <f t="shared" si="137"/>
        <v>0.243</v>
      </c>
      <c r="H234" s="889">
        <f t="shared" si="137"/>
        <v>0.243</v>
      </c>
      <c r="I234" s="889">
        <f t="shared" si="137"/>
        <v>0.243</v>
      </c>
      <c r="J234" s="889">
        <f aca="true" t="shared" si="140" ref="J234:O234">J228-J227</f>
        <v>0.243</v>
      </c>
      <c r="K234" s="889">
        <f t="shared" si="140"/>
        <v>0.243</v>
      </c>
      <c r="L234" s="889">
        <f t="shared" si="140"/>
        <v>0.243</v>
      </c>
      <c r="M234" s="889">
        <f t="shared" si="140"/>
        <v>0.243</v>
      </c>
      <c r="N234" s="889">
        <f t="shared" si="140"/>
        <v>0.243</v>
      </c>
      <c r="O234" s="892">
        <f t="shared" si="140"/>
        <v>0.243</v>
      </c>
    </row>
    <row r="235" ht="15">
      <c r="B235" s="21"/>
    </row>
  </sheetData>
  <mergeCells count="22">
    <mergeCell ref="A131:O131"/>
    <mergeCell ref="A28:O28"/>
    <mergeCell ref="A46:O46"/>
    <mergeCell ref="A47:O47"/>
    <mergeCell ref="A78:O78"/>
    <mergeCell ref="A111:O111"/>
    <mergeCell ref="A188:O188"/>
    <mergeCell ref="D191:I191"/>
    <mergeCell ref="J191:O191"/>
    <mergeCell ref="P192:P194"/>
    <mergeCell ref="F4:G4"/>
    <mergeCell ref="F5:G5"/>
    <mergeCell ref="A151:O151"/>
    <mergeCell ref="A170:O170"/>
    <mergeCell ref="P170:P174"/>
    <mergeCell ref="P151:P155"/>
    <mergeCell ref="P115:P118"/>
    <mergeCell ref="A9:O9"/>
    <mergeCell ref="P10:P12"/>
    <mergeCell ref="P28:P31"/>
    <mergeCell ref="P135:P138"/>
    <mergeCell ref="A10:O10"/>
  </mergeCells>
  <printOptions/>
  <pageMargins left="0.7" right="0.7" top="0.75" bottom="0.75" header="0.3" footer="0.3"/>
  <pageSetup horizontalDpi="600" verticalDpi="600" orientation="portrait" paperSize="5"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S68"/>
  <sheetViews>
    <sheetView zoomScale="90" zoomScaleNormal="90" workbookViewId="0" topLeftCell="A1">
      <selection activeCell="A9" sqref="A9:O9"/>
    </sheetView>
  </sheetViews>
  <sheetFormatPr defaultColWidth="8.8515625" defaultRowHeight="15"/>
  <cols>
    <col min="1" max="1" width="51.8515625" style="21" customWidth="1"/>
    <col min="2" max="2" width="10.7109375" style="20" customWidth="1"/>
    <col min="3" max="15" width="10.7109375" style="21" customWidth="1"/>
    <col min="16" max="16" width="39.421875" style="21" customWidth="1"/>
    <col min="17" max="16384" width="8.8515625" style="21" customWidth="1"/>
  </cols>
  <sheetData>
    <row r="1" ht="18">
      <c r="A1" s="19" t="s">
        <v>328</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645"/>
      <c r="I4" s="645"/>
      <c r="J4" s="996"/>
      <c r="K4" s="996"/>
      <c r="L4" s="996"/>
      <c r="M4" s="996"/>
      <c r="N4" s="996"/>
      <c r="O4" s="996"/>
    </row>
    <row r="5" spans="5:15" ht="15">
      <c r="E5" s="22" t="s">
        <v>15</v>
      </c>
      <c r="F5" s="1114">
        <f>README!H9</f>
        <v>42394</v>
      </c>
      <c r="G5" s="1114"/>
      <c r="H5" s="645"/>
      <c r="I5" s="645"/>
      <c r="J5" s="996"/>
      <c r="K5" s="996"/>
      <c r="L5" s="996"/>
      <c r="M5" s="996"/>
      <c r="N5" s="996"/>
      <c r="O5" s="996"/>
    </row>
    <row r="6" spans="5:15" ht="15">
      <c r="E6" s="22" t="s">
        <v>16</v>
      </c>
      <c r="F6" s="23"/>
      <c r="G6" s="24" t="s">
        <v>82</v>
      </c>
      <c r="H6" s="24"/>
      <c r="I6" s="24"/>
      <c r="J6" s="24"/>
      <c r="K6" s="24"/>
      <c r="L6" s="24"/>
      <c r="M6" s="24"/>
      <c r="N6" s="24"/>
      <c r="O6" s="24"/>
    </row>
    <row r="8" spans="1:16" s="648" customFormat="1"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5" ht="15" customHeight="1">
      <c r="A9" s="1159" t="s">
        <v>419</v>
      </c>
      <c r="B9" s="1159"/>
      <c r="C9" s="1159"/>
      <c r="D9" s="1159"/>
      <c r="E9" s="1159"/>
      <c r="F9" s="1159"/>
      <c r="G9" s="1159"/>
      <c r="H9" s="1159"/>
      <c r="I9" s="1159"/>
      <c r="J9" s="1159"/>
      <c r="K9" s="1159"/>
      <c r="L9" s="1159"/>
      <c r="M9" s="1159"/>
      <c r="N9" s="1159"/>
      <c r="O9" s="1159"/>
    </row>
    <row r="10" spans="1:16" ht="14.25" customHeight="1">
      <c r="A10" s="1117" t="s">
        <v>634</v>
      </c>
      <c r="B10" s="1118"/>
      <c r="C10" s="1118"/>
      <c r="D10" s="1118"/>
      <c r="E10" s="1118"/>
      <c r="F10" s="1118"/>
      <c r="G10" s="1118"/>
      <c r="H10" s="1118"/>
      <c r="I10" s="1118"/>
      <c r="J10" s="1118"/>
      <c r="K10" s="1118"/>
      <c r="L10" s="1118"/>
      <c r="M10" s="1118"/>
      <c r="N10" s="1118"/>
      <c r="O10" s="1119"/>
      <c r="P10" s="1158"/>
    </row>
    <row r="11" spans="1:16" ht="15">
      <c r="A11" s="644" t="s">
        <v>360</v>
      </c>
      <c r="B11" s="31">
        <f>POP!L68-POP!L95-POP!L100</f>
        <v>65118.97530351625</v>
      </c>
      <c r="C11" s="31">
        <f>POP!M68-POP!M95-POP!M100</f>
        <v>65982.30328159798</v>
      </c>
      <c r="D11" s="31">
        <f>POP!N68-POP!N95-POP!N100</f>
        <v>66850.25597213341</v>
      </c>
      <c r="E11" s="31">
        <f>POP!O68-POP!O95-POP!O100</f>
        <v>67722.6841039613</v>
      </c>
      <c r="F11" s="31">
        <f>POP!P68-POP!P95-POP!P100</f>
        <v>68598.2407118001</v>
      </c>
      <c r="G11" s="31">
        <f>POP!Q68-POP!Q95-POP!Q100</f>
        <v>69477.23520435736</v>
      </c>
      <c r="H11" s="31">
        <f>POP!R68-POP!R95-POP!R100</f>
        <v>70359.2844637333</v>
      </c>
      <c r="I11" s="28">
        <f>POP!S68-POP!S95-POP!S100</f>
        <v>71239.72337033534</v>
      </c>
      <c r="J11" s="28">
        <f>POP!T68-POP!T95-POP!T100</f>
        <v>72121.12798913679</v>
      </c>
      <c r="K11" s="28">
        <f>POP!U68-POP!U95-POP!U100</f>
        <v>72994.685641518</v>
      </c>
      <c r="L11" s="28">
        <f>POP!V68-POP!V95-POP!V100</f>
        <v>73864.08715030701</v>
      </c>
      <c r="M11" s="28">
        <f>POP!W68-POP!W95-POP!W100</f>
        <v>74724.11975104151</v>
      </c>
      <c r="N11" s="28">
        <f>POP!X68-POP!X95-POP!X100</f>
        <v>75574.99924456325</v>
      </c>
      <c r="O11" s="29">
        <f>POP!Y68-POP!Y95-POP!Y100</f>
        <v>76417.81042177668</v>
      </c>
      <c r="P11" s="1131"/>
    </row>
    <row r="12" spans="1:16" ht="15">
      <c r="A12" s="30" t="s">
        <v>361</v>
      </c>
      <c r="B12" s="697">
        <f>POP!L77/POP!L68</f>
        <v>0.01550500859845228</v>
      </c>
      <c r="C12" s="698">
        <f>POP!M77/POP!M68</f>
        <v>0.01550500859845228</v>
      </c>
      <c r="D12" s="698">
        <f>POP!N77/POP!N68</f>
        <v>0.015505008598452278</v>
      </c>
      <c r="E12" s="698">
        <f>POP!O77/POP!O68</f>
        <v>0.015505008598452278</v>
      </c>
      <c r="F12" s="698">
        <f>POP!P77/POP!P68</f>
        <v>0.015505008598452278</v>
      </c>
      <c r="G12" s="698">
        <f>POP!Q77/POP!Q68</f>
        <v>0.015505008598452278</v>
      </c>
      <c r="H12" s="698">
        <f>POP!R77/POP!R68</f>
        <v>0.015505008598452278</v>
      </c>
      <c r="I12" s="698">
        <f>POP!S77/POP!S68</f>
        <v>0.015505008598452278</v>
      </c>
      <c r="J12" s="698">
        <f>POP!T77/POP!T68</f>
        <v>0.015505008598452278</v>
      </c>
      <c r="K12" s="698">
        <f>POP!U77/POP!U68</f>
        <v>0.015505008598452278</v>
      </c>
      <c r="L12" s="698">
        <f>POP!V77/POP!V68</f>
        <v>0.015505008598452276</v>
      </c>
      <c r="M12" s="698">
        <f>POP!W77/POP!W68</f>
        <v>0.015505008598452278</v>
      </c>
      <c r="N12" s="698">
        <f>POP!X77/POP!X68</f>
        <v>0.015505008598452278</v>
      </c>
      <c r="O12" s="1047">
        <f>POP!Y77/POP!Y68</f>
        <v>0.015505008598452278</v>
      </c>
      <c r="P12" s="1131"/>
    </row>
    <row r="13" spans="1:16" s="35" customFormat="1" ht="15">
      <c r="A13" s="32" t="s">
        <v>362</v>
      </c>
      <c r="B13" s="33">
        <f>B11*B12</f>
        <v>1009.6702720034211</v>
      </c>
      <c r="C13" s="34">
        <f aca="true" t="shared" si="0" ref="C13:O13">C11*C12</f>
        <v>1023.0561797268628</v>
      </c>
      <c r="D13" s="34">
        <f t="shared" si="0"/>
        <v>1036.5137936566643</v>
      </c>
      <c r="E13" s="34">
        <f t="shared" si="0"/>
        <v>1050.0407993421875</v>
      </c>
      <c r="F13" s="34">
        <f t="shared" si="0"/>
        <v>1063.6163120751596</v>
      </c>
      <c r="G13" s="34">
        <f t="shared" si="0"/>
        <v>1077.2451292402523</v>
      </c>
      <c r="H13" s="34">
        <f t="shared" si="0"/>
        <v>1090.9213105911347</v>
      </c>
      <c r="I13" s="34">
        <f t="shared" si="0"/>
        <v>1104.5725234084111</v>
      </c>
      <c r="J13" s="34">
        <f t="shared" si="0"/>
        <v>1118.2387096016432</v>
      </c>
      <c r="K13" s="34">
        <f t="shared" si="0"/>
        <v>1131.7832285130576</v>
      </c>
      <c r="L13" s="34">
        <f t="shared" si="0"/>
        <v>1145.2633063823384</v>
      </c>
      <c r="M13" s="34">
        <f t="shared" si="0"/>
        <v>1158.5981192516763</v>
      </c>
      <c r="N13" s="34">
        <f t="shared" si="0"/>
        <v>1171.7910131149777</v>
      </c>
      <c r="O13" s="819">
        <f t="shared" si="0"/>
        <v>1184.8588076645435</v>
      </c>
      <c r="P13" s="1131"/>
    </row>
    <row r="14" spans="1:16" s="35" customFormat="1" ht="15">
      <c r="A14" s="32" t="s">
        <v>74</v>
      </c>
      <c r="B14" s="268">
        <v>0</v>
      </c>
      <c r="C14" s="269">
        <v>0</v>
      </c>
      <c r="D14" s="269">
        <v>0.25</v>
      </c>
      <c r="E14" s="269">
        <v>0.5</v>
      </c>
      <c r="F14" s="269">
        <v>0.75</v>
      </c>
      <c r="G14" s="269">
        <v>1</v>
      </c>
      <c r="H14" s="269">
        <v>1</v>
      </c>
      <c r="I14" s="269">
        <v>1</v>
      </c>
      <c r="J14" s="269">
        <v>1</v>
      </c>
      <c r="K14" s="269">
        <v>1</v>
      </c>
      <c r="L14" s="269">
        <v>1</v>
      </c>
      <c r="M14" s="269">
        <v>1</v>
      </c>
      <c r="N14" s="269">
        <v>1</v>
      </c>
      <c r="O14" s="906">
        <v>1</v>
      </c>
      <c r="P14" s="1131"/>
    </row>
    <row r="15" spans="1:16" s="35" customFormat="1" ht="15">
      <c r="A15" s="32" t="s">
        <v>70</v>
      </c>
      <c r="B15" s="33">
        <f>B13*B14</f>
        <v>0</v>
      </c>
      <c r="C15" s="34">
        <f aca="true" t="shared" si="1" ref="C15:O15">C13*C14</f>
        <v>0</v>
      </c>
      <c r="D15" s="34">
        <f t="shared" si="1"/>
        <v>259.1284484141661</v>
      </c>
      <c r="E15" s="34">
        <f t="shared" si="1"/>
        <v>525.0203996710937</v>
      </c>
      <c r="F15" s="34">
        <f t="shared" si="1"/>
        <v>797.7122340563697</v>
      </c>
      <c r="G15" s="34">
        <f t="shared" si="1"/>
        <v>1077.2451292402523</v>
      </c>
      <c r="H15" s="34">
        <f t="shared" si="1"/>
        <v>1090.9213105911347</v>
      </c>
      <c r="I15" s="34">
        <f t="shared" si="1"/>
        <v>1104.5725234084111</v>
      </c>
      <c r="J15" s="34">
        <f t="shared" si="1"/>
        <v>1118.2387096016432</v>
      </c>
      <c r="K15" s="34">
        <f t="shared" si="1"/>
        <v>1131.7832285130576</v>
      </c>
      <c r="L15" s="34">
        <f t="shared" si="1"/>
        <v>1145.2633063823384</v>
      </c>
      <c r="M15" s="34">
        <f t="shared" si="1"/>
        <v>1158.5981192516763</v>
      </c>
      <c r="N15" s="34">
        <f t="shared" si="1"/>
        <v>1171.7910131149777</v>
      </c>
      <c r="O15" s="819">
        <f t="shared" si="1"/>
        <v>1184.8588076645435</v>
      </c>
      <c r="P15" s="1131"/>
    </row>
    <row r="16" spans="1:16" s="35" customFormat="1" ht="15">
      <c r="A16" s="32"/>
      <c r="B16" s="33"/>
      <c r="C16" s="34"/>
      <c r="D16" s="34"/>
      <c r="E16" s="34"/>
      <c r="F16" s="34"/>
      <c r="G16" s="34"/>
      <c r="H16" s="34"/>
      <c r="I16" s="34"/>
      <c r="J16" s="34"/>
      <c r="K16" s="34"/>
      <c r="L16" s="34"/>
      <c r="M16" s="34"/>
      <c r="N16" s="34"/>
      <c r="O16" s="819"/>
      <c r="P16" s="1131"/>
    </row>
    <row r="17" spans="1:16" s="35" customFormat="1" ht="15">
      <c r="A17" s="32" t="s">
        <v>358</v>
      </c>
      <c r="B17" s="33">
        <f>750*12</f>
        <v>9000</v>
      </c>
      <c r="C17" s="34">
        <f aca="true" t="shared" si="2" ref="C17:G17">B17</f>
        <v>9000</v>
      </c>
      <c r="D17" s="34">
        <f t="shared" si="2"/>
        <v>9000</v>
      </c>
      <c r="E17" s="34">
        <f t="shared" si="2"/>
        <v>9000</v>
      </c>
      <c r="F17" s="34">
        <f t="shared" si="2"/>
        <v>9000</v>
      </c>
      <c r="G17" s="34">
        <f t="shared" si="2"/>
        <v>9000</v>
      </c>
      <c r="H17" s="34">
        <f>G17</f>
        <v>9000</v>
      </c>
      <c r="I17" s="34">
        <f>(H17*(1+ECO!O10)*(1+ECO!P10)*(1+ECO!Q10)*(1+ECO!R10)*(1+ECO!S10))</f>
        <v>10586.060546135039</v>
      </c>
      <c r="J17" s="34">
        <f>I17</f>
        <v>10586.060546135039</v>
      </c>
      <c r="K17" s="34">
        <f aca="true" t="shared" si="3" ref="K17:O17">J17</f>
        <v>10586.060546135039</v>
      </c>
      <c r="L17" s="34">
        <f t="shared" si="3"/>
        <v>10586.060546135039</v>
      </c>
      <c r="M17" s="34">
        <f t="shared" si="3"/>
        <v>10586.060546135039</v>
      </c>
      <c r="N17" s="34">
        <f>(M17*(1+ECO!T10)*(1+ECO!U10)*(1+ECO!V10)*(1+ECO!W10)*(1+ECO!X10))</f>
        <v>12391.756190483193</v>
      </c>
      <c r="O17" s="819">
        <f t="shared" si="3"/>
        <v>12391.756190483193</v>
      </c>
      <c r="P17" s="1131"/>
    </row>
    <row r="18" spans="1:15" s="35" customFormat="1" ht="15">
      <c r="A18" s="32" t="s">
        <v>359</v>
      </c>
      <c r="B18" s="33">
        <f>B15*B17/1000</f>
        <v>0</v>
      </c>
      <c r="C18" s="34">
        <f aca="true" t="shared" si="4" ref="C18:H18">C15*C17/1000</f>
        <v>0</v>
      </c>
      <c r="D18" s="34">
        <f t="shared" si="4"/>
        <v>2332.156035727495</v>
      </c>
      <c r="E18" s="34">
        <f t="shared" si="4"/>
        <v>4725.183597039844</v>
      </c>
      <c r="F18" s="34">
        <f t="shared" si="4"/>
        <v>7179.410106507326</v>
      </c>
      <c r="G18" s="34">
        <f t="shared" si="4"/>
        <v>9695.206163162271</v>
      </c>
      <c r="H18" s="34">
        <f t="shared" si="4"/>
        <v>9818.291795320212</v>
      </c>
      <c r="I18" s="34">
        <f>I15*I17/1000</f>
        <v>11693.071610398603</v>
      </c>
      <c r="J18" s="34">
        <f aca="true" t="shared" si="5" ref="J18:O18">J15*J17/1000</f>
        <v>11837.742684874913</v>
      </c>
      <c r="K18" s="34">
        <f t="shared" si="5"/>
        <v>11981.125782139416</v>
      </c>
      <c r="L18" s="34">
        <f t="shared" si="5"/>
        <v>12123.826702630238</v>
      </c>
      <c r="M18" s="34">
        <f t="shared" si="5"/>
        <v>12264.989839036429</v>
      </c>
      <c r="N18" s="34">
        <f>N15*N17/1000</f>
        <v>14520.548540720096</v>
      </c>
      <c r="O18" s="819">
        <f t="shared" si="5"/>
        <v>14682.48146472564</v>
      </c>
    </row>
    <row r="19" spans="1:15" s="35" customFormat="1" ht="15">
      <c r="A19" s="32"/>
      <c r="B19" s="33"/>
      <c r="C19" s="34"/>
      <c r="D19" s="34"/>
      <c r="E19" s="34"/>
      <c r="F19" s="34"/>
      <c r="G19" s="34"/>
      <c r="H19" s="34"/>
      <c r="I19" s="34"/>
      <c r="J19" s="34"/>
      <c r="K19" s="34"/>
      <c r="L19" s="34"/>
      <c r="M19" s="34"/>
      <c r="N19" s="34"/>
      <c r="O19" s="819"/>
    </row>
    <row r="20" spans="1:15" s="35" customFormat="1" ht="15">
      <c r="A20" s="632" t="s">
        <v>86</v>
      </c>
      <c r="B20" s="34">
        <f aca="true" t="shared" si="6" ref="B20:C20">15%*B18</f>
        <v>0</v>
      </c>
      <c r="C20" s="34">
        <f t="shared" si="6"/>
        <v>0</v>
      </c>
      <c r="D20" s="34">
        <f>15%*D18</f>
        <v>349.8234053591242</v>
      </c>
      <c r="E20" s="34">
        <f aca="true" t="shared" si="7" ref="E20:H20">15%*E18</f>
        <v>708.7775395559767</v>
      </c>
      <c r="F20" s="34">
        <f t="shared" si="7"/>
        <v>1076.9115159760988</v>
      </c>
      <c r="G20" s="34">
        <f t="shared" si="7"/>
        <v>1454.2809244743405</v>
      </c>
      <c r="H20" s="34">
        <f t="shared" si="7"/>
        <v>1472.7437692980318</v>
      </c>
      <c r="I20" s="34">
        <f>15%*I18</f>
        <v>1753.9607415597904</v>
      </c>
      <c r="J20" s="34">
        <f aca="true" t="shared" si="8" ref="J20:O20">15%*J18</f>
        <v>1775.6614027312369</v>
      </c>
      <c r="K20" s="34">
        <f t="shared" si="8"/>
        <v>1797.1688673209123</v>
      </c>
      <c r="L20" s="34">
        <f t="shared" si="8"/>
        <v>1818.5740053945358</v>
      </c>
      <c r="M20" s="34">
        <f t="shared" si="8"/>
        <v>1839.7484758554642</v>
      </c>
      <c r="N20" s="34">
        <f>15%*N18</f>
        <v>2178.0822811080143</v>
      </c>
      <c r="O20" s="819">
        <f t="shared" si="8"/>
        <v>2202.372219708846</v>
      </c>
    </row>
    <row r="21" spans="1:19" s="35" customFormat="1" ht="15">
      <c r="A21" s="32"/>
      <c r="B21" s="33"/>
      <c r="C21" s="34"/>
      <c r="D21" s="34"/>
      <c r="E21" s="34"/>
      <c r="F21" s="34"/>
      <c r="G21" s="34"/>
      <c r="H21" s="34"/>
      <c r="I21" s="34"/>
      <c r="J21" s="34"/>
      <c r="K21" s="34"/>
      <c r="L21" s="34"/>
      <c r="M21" s="34"/>
      <c r="N21" s="34"/>
      <c r="O21" s="819"/>
      <c r="P21" s="282"/>
      <c r="Q21" s="282"/>
      <c r="R21" s="282"/>
      <c r="S21" s="281"/>
    </row>
    <row r="22" spans="1:15" ht="15">
      <c r="A22" s="43" t="s">
        <v>84</v>
      </c>
      <c r="B22" s="44">
        <f>B18+B20</f>
        <v>0</v>
      </c>
      <c r="C22" s="45">
        <f>C18+C20</f>
        <v>0</v>
      </c>
      <c r="D22" s="45">
        <f aca="true" t="shared" si="9" ref="D22:O22">D18+D20</f>
        <v>2681.979441086619</v>
      </c>
      <c r="E22" s="45">
        <f t="shared" si="9"/>
        <v>5433.961136595821</v>
      </c>
      <c r="F22" s="45">
        <f t="shared" si="9"/>
        <v>8256.321622483425</v>
      </c>
      <c r="G22" s="45">
        <f t="shared" si="9"/>
        <v>11149.487087636611</v>
      </c>
      <c r="H22" s="45">
        <f t="shared" si="9"/>
        <v>11291.035564618243</v>
      </c>
      <c r="I22" s="45">
        <f t="shared" si="9"/>
        <v>13447.032351958394</v>
      </c>
      <c r="J22" s="45">
        <f t="shared" si="9"/>
        <v>13613.40408760615</v>
      </c>
      <c r="K22" s="45">
        <f t="shared" si="9"/>
        <v>13778.294649460327</v>
      </c>
      <c r="L22" s="45">
        <f t="shared" si="9"/>
        <v>13942.400708024774</v>
      </c>
      <c r="M22" s="45">
        <f t="shared" si="9"/>
        <v>14104.738314891893</v>
      </c>
      <c r="N22" s="45">
        <f t="shared" si="9"/>
        <v>16698.630821828112</v>
      </c>
      <c r="O22" s="874">
        <f t="shared" si="9"/>
        <v>16884.853684434485</v>
      </c>
    </row>
    <row r="23" spans="1:15" ht="15">
      <c r="A23" s="43" t="s">
        <v>69</v>
      </c>
      <c r="B23" s="270">
        <f>B22/(ECO!L$66*1000)</f>
        <v>0</v>
      </c>
      <c r="C23" s="271">
        <f>C22/(ECO!M$66*1000)</f>
        <v>0</v>
      </c>
      <c r="D23" s="271">
        <f>D22/(ECO!N$66*1000)</f>
        <v>0.0001618291004674748</v>
      </c>
      <c r="E23" s="271">
        <f>E22/(ECO!O$66*1000)</f>
        <v>0.00029801178194747654</v>
      </c>
      <c r="F23" s="271">
        <f>F22/(ECO!P$66*1000)</f>
        <v>0.00041193211599645447</v>
      </c>
      <c r="G23" s="271">
        <f>G22/(ECO!Q$66*1000)</f>
        <v>0.000506659704628643</v>
      </c>
      <c r="H23" s="271">
        <f>H22/(ECO!R$66*1000)</f>
        <v>0.00048404906636404475</v>
      </c>
      <c r="I23" s="271">
        <f>I22/(ECO!S$66*1000)</f>
        <v>0.000543846322178837</v>
      </c>
      <c r="J23" s="271">
        <f>J22/(ECO!T$66*1000)</f>
        <v>0.0005194103709180892</v>
      </c>
      <c r="K23" s="271">
        <f>K22/(ECO!U$66*1000)</f>
        <v>0.0004959449627762414</v>
      </c>
      <c r="L23" s="271">
        <f>L22/(ECO!V$66*1000)</f>
        <v>0.00047344519220963326</v>
      </c>
      <c r="M23" s="271">
        <f>M22/(ECO!W$66*1000)</f>
        <v>0.000451846911622822</v>
      </c>
      <c r="N23" s="271">
        <f>N22/(ECO!X$66*1000)</f>
        <v>0.0005046627886319773</v>
      </c>
      <c r="O23" s="968">
        <f>O22/(ECO!Y$66*1000)</f>
        <v>0.00048140639617144036</v>
      </c>
    </row>
    <row r="24" spans="1:15" ht="15">
      <c r="A24" s="969" t="s">
        <v>71</v>
      </c>
      <c r="B24" s="970">
        <f>B22/('GGO (SQ)'!L$24*1000)</f>
        <v>0</v>
      </c>
      <c r="C24" s="964">
        <f>C22/('GGO (SQ)'!M$24*1000)</f>
        <v>0</v>
      </c>
      <c r="D24" s="964">
        <f>D22/('GGO (SQ)'!N$24*1000)</f>
        <v>0.0010317567884169847</v>
      </c>
      <c r="E24" s="964">
        <f>E22/('GGO (SQ)'!O$24*1000)</f>
        <v>0.001900002398606603</v>
      </c>
      <c r="F24" s="964">
        <f>F22/('GGO (SQ)'!P$24*1000)</f>
        <v>0.0026263122999422212</v>
      </c>
      <c r="G24" s="964">
        <f>G22/('GGO (SQ)'!Q$24*1000)</f>
        <v>0.0032302570313860915</v>
      </c>
      <c r="H24" s="964">
        <f>H22/('GGO (SQ)'!R$24*1000)</f>
        <v>0.003086100761268104</v>
      </c>
      <c r="I24" s="964">
        <f>I22/('GGO (SQ)'!S$24*1000)</f>
        <v>0.003467343840772331</v>
      </c>
      <c r="J24" s="964">
        <f>J22/('GGO (SQ)'!T$24*1000)</f>
        <v>0.00331155011441611</v>
      </c>
      <c r="K24" s="964">
        <f>K22/('GGO (SQ)'!U$24*1000)</f>
        <v>0.0031619441778238076</v>
      </c>
      <c r="L24" s="964">
        <f>L22/('GGO (SQ)'!V$24*1000)</f>
        <v>0.003018494755236252</v>
      </c>
      <c r="M24" s="964">
        <f>M22/('GGO (SQ)'!W$24*1000)</f>
        <v>0.002880792867570775</v>
      </c>
      <c r="N24" s="964">
        <f>N22/('GGO (SQ)'!X$24*1000)</f>
        <v>0.003217525503932088</v>
      </c>
      <c r="O24" s="971">
        <f>O22/('GGO (SQ)'!Y$24*1000)</f>
        <v>0.0030692521666526094</v>
      </c>
    </row>
    <row r="25" spans="1:16" ht="15">
      <c r="A25" s="46"/>
      <c r="B25" s="609"/>
      <c r="C25" s="609"/>
      <c r="D25" s="609"/>
      <c r="E25" s="609"/>
      <c r="F25" s="609"/>
      <c r="G25" s="269"/>
      <c r="H25" s="269"/>
      <c r="I25" s="609"/>
      <c r="J25" s="609"/>
      <c r="K25" s="609"/>
      <c r="L25" s="609"/>
      <c r="M25" s="609"/>
      <c r="N25" s="609"/>
      <c r="O25" s="609"/>
      <c r="P25" s="31"/>
    </row>
    <row r="26" spans="1:16" ht="14.25" customHeight="1">
      <c r="A26" s="1117" t="s">
        <v>573</v>
      </c>
      <c r="B26" s="1118"/>
      <c r="C26" s="1118"/>
      <c r="D26" s="1118"/>
      <c r="E26" s="1118"/>
      <c r="F26" s="1118"/>
      <c r="G26" s="1118"/>
      <c r="H26" s="1118"/>
      <c r="I26" s="1118"/>
      <c r="J26" s="1118"/>
      <c r="K26" s="1118"/>
      <c r="L26" s="1118"/>
      <c r="M26" s="1118"/>
      <c r="N26" s="1118"/>
      <c r="O26" s="1119"/>
      <c r="P26" s="1158"/>
    </row>
    <row r="27" spans="1:16" ht="15">
      <c r="A27" s="644" t="s">
        <v>360</v>
      </c>
      <c r="B27" s="31">
        <f>POP!L68-POP!L95-POP!L100</f>
        <v>65118.97530351625</v>
      </c>
      <c r="C27" s="31">
        <f>POP!M68-POP!M95-POP!M100</f>
        <v>65982.30328159798</v>
      </c>
      <c r="D27" s="31">
        <f>POP!N68-POP!N95-POP!N100</f>
        <v>66850.25597213341</v>
      </c>
      <c r="E27" s="31">
        <f>POP!O68-POP!O95-POP!O100</f>
        <v>67722.6841039613</v>
      </c>
      <c r="F27" s="31">
        <f>POP!P68-POP!P95-POP!P100</f>
        <v>68598.2407118001</v>
      </c>
      <c r="G27" s="31">
        <f>POP!Q68-POP!Q95-POP!Q100</f>
        <v>69477.23520435736</v>
      </c>
      <c r="H27" s="31">
        <f>POP!R68-POP!R95-POP!R100</f>
        <v>70359.2844637333</v>
      </c>
      <c r="I27" s="28">
        <f>POP!S68-POP!S95-POP!S100</f>
        <v>71239.72337033534</v>
      </c>
      <c r="J27" s="28">
        <f>POP!T68-POP!T95-POP!T100</f>
        <v>72121.12798913679</v>
      </c>
      <c r="K27" s="28">
        <f>POP!U68-POP!U95-POP!U100</f>
        <v>72994.685641518</v>
      </c>
      <c r="L27" s="28">
        <f>POP!V68-POP!V95-POP!V100</f>
        <v>73864.08715030701</v>
      </c>
      <c r="M27" s="28">
        <f>POP!W68-POP!W95-POP!W100</f>
        <v>74724.11975104151</v>
      </c>
      <c r="N27" s="28">
        <f>POP!X68-POP!X95-POP!X100</f>
        <v>75574.99924456325</v>
      </c>
      <c r="O27" s="29">
        <f>POP!Y68-POP!Y95-POP!Y100</f>
        <v>76417.81042177668</v>
      </c>
      <c r="P27" s="1131"/>
    </row>
    <row r="28" spans="1:16" ht="15">
      <c r="A28" s="30" t="s">
        <v>361</v>
      </c>
      <c r="B28" s="697">
        <f>POP!L77/POP!L68</f>
        <v>0.01550500859845228</v>
      </c>
      <c r="C28" s="698">
        <f>POP!M77/POP!M68</f>
        <v>0.01550500859845228</v>
      </c>
      <c r="D28" s="698">
        <f>POP!N77/POP!N68</f>
        <v>0.015505008598452278</v>
      </c>
      <c r="E28" s="698">
        <f>POP!O77/POP!O68</f>
        <v>0.015505008598452278</v>
      </c>
      <c r="F28" s="698">
        <f>POP!P77/POP!P68</f>
        <v>0.015505008598452278</v>
      </c>
      <c r="G28" s="698">
        <f>POP!Q77/POP!Q68</f>
        <v>0.015505008598452278</v>
      </c>
      <c r="H28" s="698">
        <f>POP!R77/POP!R68</f>
        <v>0.015505008598452278</v>
      </c>
      <c r="I28" s="698">
        <f>POP!S77/POP!S68</f>
        <v>0.015505008598452278</v>
      </c>
      <c r="J28" s="698">
        <f>POP!T77/POP!T68</f>
        <v>0.015505008598452278</v>
      </c>
      <c r="K28" s="698">
        <f>POP!U77/POP!U68</f>
        <v>0.015505008598452278</v>
      </c>
      <c r="L28" s="698">
        <f>POP!V77/POP!V68</f>
        <v>0.015505008598452276</v>
      </c>
      <c r="M28" s="698">
        <f>POP!W77/POP!W68</f>
        <v>0.015505008598452278</v>
      </c>
      <c r="N28" s="698">
        <f>POP!X77/POP!X68</f>
        <v>0.015505008598452278</v>
      </c>
      <c r="O28" s="1047">
        <f>POP!Y77/POP!Y68</f>
        <v>0.015505008598452278</v>
      </c>
      <c r="P28" s="1131"/>
    </row>
    <row r="29" spans="1:16" s="35" customFormat="1" ht="15">
      <c r="A29" s="32" t="s">
        <v>362</v>
      </c>
      <c r="B29" s="33">
        <f>B27*B28</f>
        <v>1009.6702720034211</v>
      </c>
      <c r="C29" s="34">
        <f aca="true" t="shared" si="10" ref="C29:O29">C27*C28</f>
        <v>1023.0561797268628</v>
      </c>
      <c r="D29" s="34">
        <f t="shared" si="10"/>
        <v>1036.5137936566643</v>
      </c>
      <c r="E29" s="34">
        <f t="shared" si="10"/>
        <v>1050.0407993421875</v>
      </c>
      <c r="F29" s="34">
        <f t="shared" si="10"/>
        <v>1063.6163120751596</v>
      </c>
      <c r="G29" s="34">
        <f t="shared" si="10"/>
        <v>1077.2451292402523</v>
      </c>
      <c r="H29" s="34">
        <f t="shared" si="10"/>
        <v>1090.9213105911347</v>
      </c>
      <c r="I29" s="34">
        <f t="shared" si="10"/>
        <v>1104.5725234084111</v>
      </c>
      <c r="J29" s="34">
        <f t="shared" si="10"/>
        <v>1118.2387096016432</v>
      </c>
      <c r="K29" s="34">
        <f t="shared" si="10"/>
        <v>1131.7832285130576</v>
      </c>
      <c r="L29" s="34">
        <f t="shared" si="10"/>
        <v>1145.2633063823384</v>
      </c>
      <c r="M29" s="34">
        <f t="shared" si="10"/>
        <v>1158.5981192516763</v>
      </c>
      <c r="N29" s="34">
        <f t="shared" si="10"/>
        <v>1171.7910131149777</v>
      </c>
      <c r="O29" s="819">
        <f t="shared" si="10"/>
        <v>1184.8588076645435</v>
      </c>
      <c r="P29" s="1131"/>
    </row>
    <row r="30" spans="1:16" s="35" customFormat="1" ht="15">
      <c r="A30" s="32" t="s">
        <v>74</v>
      </c>
      <c r="B30" s="268">
        <v>0</v>
      </c>
      <c r="C30" s="269">
        <v>0</v>
      </c>
      <c r="D30" s="269">
        <v>0.25</v>
      </c>
      <c r="E30" s="269">
        <v>0.5</v>
      </c>
      <c r="F30" s="269">
        <v>0.75</v>
      </c>
      <c r="G30" s="269">
        <v>1</v>
      </c>
      <c r="H30" s="269">
        <v>1</v>
      </c>
      <c r="I30" s="269">
        <v>1</v>
      </c>
      <c r="J30" s="269">
        <v>1</v>
      </c>
      <c r="K30" s="269">
        <v>1</v>
      </c>
      <c r="L30" s="269">
        <v>1</v>
      </c>
      <c r="M30" s="269">
        <v>1</v>
      </c>
      <c r="N30" s="269">
        <v>1</v>
      </c>
      <c r="O30" s="906">
        <v>1</v>
      </c>
      <c r="P30" s="1131"/>
    </row>
    <row r="31" spans="1:16" s="35" customFormat="1" ht="15">
      <c r="A31" s="32" t="s">
        <v>70</v>
      </c>
      <c r="B31" s="33">
        <f>B29*B30</f>
        <v>0</v>
      </c>
      <c r="C31" s="34">
        <f aca="true" t="shared" si="11" ref="C31:O31">C29*C30</f>
        <v>0</v>
      </c>
      <c r="D31" s="34">
        <f t="shared" si="11"/>
        <v>259.1284484141661</v>
      </c>
      <c r="E31" s="34">
        <f t="shared" si="11"/>
        <v>525.0203996710937</v>
      </c>
      <c r="F31" s="34">
        <f t="shared" si="11"/>
        <v>797.7122340563697</v>
      </c>
      <c r="G31" s="34">
        <f t="shared" si="11"/>
        <v>1077.2451292402523</v>
      </c>
      <c r="H31" s="34">
        <f t="shared" si="11"/>
        <v>1090.9213105911347</v>
      </c>
      <c r="I31" s="34">
        <f t="shared" si="11"/>
        <v>1104.5725234084111</v>
      </c>
      <c r="J31" s="34">
        <f t="shared" si="11"/>
        <v>1118.2387096016432</v>
      </c>
      <c r="K31" s="34">
        <f t="shared" si="11"/>
        <v>1131.7832285130576</v>
      </c>
      <c r="L31" s="34">
        <f t="shared" si="11"/>
        <v>1145.2633063823384</v>
      </c>
      <c r="M31" s="34">
        <f t="shared" si="11"/>
        <v>1158.5981192516763</v>
      </c>
      <c r="N31" s="34">
        <f t="shared" si="11"/>
        <v>1171.7910131149777</v>
      </c>
      <c r="O31" s="819">
        <f t="shared" si="11"/>
        <v>1184.8588076645435</v>
      </c>
      <c r="P31" s="1131"/>
    </row>
    <row r="32" spans="1:16" s="35" customFormat="1" ht="15">
      <c r="A32" s="32"/>
      <c r="B32" s="33"/>
      <c r="C32" s="34"/>
      <c r="D32" s="34"/>
      <c r="E32" s="34"/>
      <c r="F32" s="34"/>
      <c r="G32" s="34"/>
      <c r="H32" s="34"/>
      <c r="I32" s="34"/>
      <c r="J32" s="34"/>
      <c r="K32" s="34"/>
      <c r="L32" s="34"/>
      <c r="M32" s="34"/>
      <c r="N32" s="34"/>
      <c r="O32" s="819"/>
      <c r="P32" s="1131"/>
    </row>
    <row r="33" spans="1:16" s="35" customFormat="1" ht="15">
      <c r="A33" s="32" t="s">
        <v>358</v>
      </c>
      <c r="B33" s="33">
        <f>1000*12</f>
        <v>12000</v>
      </c>
      <c r="C33" s="34">
        <f aca="true" t="shared" si="12" ref="C33:H33">B33</f>
        <v>12000</v>
      </c>
      <c r="D33" s="34">
        <f t="shared" si="12"/>
        <v>12000</v>
      </c>
      <c r="E33" s="34">
        <f t="shared" si="12"/>
        <v>12000</v>
      </c>
      <c r="F33" s="34">
        <f t="shared" si="12"/>
        <v>12000</v>
      </c>
      <c r="G33" s="34">
        <f t="shared" si="12"/>
        <v>12000</v>
      </c>
      <c r="H33" s="34">
        <f t="shared" si="12"/>
        <v>12000</v>
      </c>
      <c r="I33" s="34">
        <f>(H33*(1+ECO!O10)*(1+ECO!P10)*(1+ECO!Q10)*(1+ECO!R10)*(1+ECO!S10))</f>
        <v>14114.74739484672</v>
      </c>
      <c r="J33" s="34">
        <f>I33</f>
        <v>14114.74739484672</v>
      </c>
      <c r="K33" s="34">
        <f aca="true" t="shared" si="13" ref="K33:O33">J33</f>
        <v>14114.74739484672</v>
      </c>
      <c r="L33" s="34">
        <f t="shared" si="13"/>
        <v>14114.74739484672</v>
      </c>
      <c r="M33" s="34">
        <f t="shared" si="13"/>
        <v>14114.74739484672</v>
      </c>
      <c r="N33" s="34">
        <f>(M33*(1+ECO!T10)*(1+ECO!U10)*(1+ECO!V10)*(1+ECO!W10)*(1+ECO!X10))</f>
        <v>16522.341587310922</v>
      </c>
      <c r="O33" s="819">
        <f t="shared" si="13"/>
        <v>16522.341587310922</v>
      </c>
      <c r="P33" s="1131"/>
    </row>
    <row r="34" spans="1:15" s="35" customFormat="1" ht="15">
      <c r="A34" s="32" t="s">
        <v>181</v>
      </c>
      <c r="B34" s="33">
        <f>B31*B33/1000</f>
        <v>0</v>
      </c>
      <c r="C34" s="34">
        <f>C31*C33/1000</f>
        <v>0</v>
      </c>
      <c r="D34" s="34">
        <f aca="true" t="shared" si="14" ref="D34:O34">D31*D33/1000</f>
        <v>3109.541380969993</v>
      </c>
      <c r="E34" s="34">
        <f t="shared" si="14"/>
        <v>6300.244796053124</v>
      </c>
      <c r="F34" s="34">
        <f t="shared" si="14"/>
        <v>9572.546808676436</v>
      </c>
      <c r="G34" s="34">
        <f t="shared" si="14"/>
        <v>12926.941550883026</v>
      </c>
      <c r="H34" s="34">
        <f t="shared" si="14"/>
        <v>13091.055727093617</v>
      </c>
      <c r="I34" s="34">
        <f t="shared" si="14"/>
        <v>15590.762147198138</v>
      </c>
      <c r="J34" s="34">
        <f t="shared" si="14"/>
        <v>15783.656913166551</v>
      </c>
      <c r="K34" s="34">
        <f t="shared" si="14"/>
        <v>15974.834376185889</v>
      </c>
      <c r="L34" s="34">
        <f t="shared" si="14"/>
        <v>16165.102270173653</v>
      </c>
      <c r="M34" s="34">
        <f t="shared" si="14"/>
        <v>16353.319785381907</v>
      </c>
      <c r="N34" s="34">
        <f t="shared" si="14"/>
        <v>19360.731387626794</v>
      </c>
      <c r="O34" s="819">
        <f t="shared" si="14"/>
        <v>19576.641952967522</v>
      </c>
    </row>
    <row r="35" spans="1:15" s="35" customFormat="1" ht="15">
      <c r="A35" s="32"/>
      <c r="B35" s="33"/>
      <c r="C35" s="34"/>
      <c r="D35" s="34"/>
      <c r="E35" s="34"/>
      <c r="F35" s="34"/>
      <c r="G35" s="34"/>
      <c r="H35" s="34"/>
      <c r="I35" s="34"/>
      <c r="J35" s="34"/>
      <c r="K35" s="34"/>
      <c r="L35" s="34"/>
      <c r="M35" s="34"/>
      <c r="N35" s="34"/>
      <c r="O35" s="819"/>
    </row>
    <row r="36" spans="1:15" s="35" customFormat="1" ht="15">
      <c r="A36" s="632" t="s">
        <v>86</v>
      </c>
      <c r="B36" s="34">
        <f aca="true" t="shared" si="15" ref="B36:C36">15%*B34</f>
        <v>0</v>
      </c>
      <c r="C36" s="34">
        <f t="shared" si="15"/>
        <v>0</v>
      </c>
      <c r="D36" s="34">
        <f>15%*D34</f>
        <v>466.43120714549895</v>
      </c>
      <c r="E36" s="34">
        <f aca="true" t="shared" si="16" ref="E36:O36">15%*E34</f>
        <v>945.0367194079686</v>
      </c>
      <c r="F36" s="34">
        <f t="shared" si="16"/>
        <v>1435.8820213014653</v>
      </c>
      <c r="G36" s="34">
        <f t="shared" si="16"/>
        <v>1939.0412326324538</v>
      </c>
      <c r="H36" s="34">
        <f t="shared" si="16"/>
        <v>1963.6583590640425</v>
      </c>
      <c r="I36" s="34">
        <f t="shared" si="16"/>
        <v>2338.6143220797208</v>
      </c>
      <c r="J36" s="34">
        <f t="shared" si="16"/>
        <v>2367.5485369749827</v>
      </c>
      <c r="K36" s="34">
        <f t="shared" si="16"/>
        <v>2396.225156427883</v>
      </c>
      <c r="L36" s="34">
        <f t="shared" si="16"/>
        <v>2424.765340526048</v>
      </c>
      <c r="M36" s="34">
        <f t="shared" si="16"/>
        <v>2452.997967807286</v>
      </c>
      <c r="N36" s="34">
        <f t="shared" si="16"/>
        <v>2904.109708144019</v>
      </c>
      <c r="O36" s="819">
        <f t="shared" si="16"/>
        <v>2936.496292945128</v>
      </c>
    </row>
    <row r="37" spans="1:19" s="35" customFormat="1" ht="15">
      <c r="A37" s="32"/>
      <c r="B37" s="33"/>
      <c r="C37" s="34"/>
      <c r="D37" s="34"/>
      <c r="E37" s="34"/>
      <c r="F37" s="34"/>
      <c r="G37" s="34"/>
      <c r="H37" s="34"/>
      <c r="I37" s="34"/>
      <c r="J37" s="34"/>
      <c r="K37" s="34"/>
      <c r="L37" s="34"/>
      <c r="M37" s="34"/>
      <c r="N37" s="34"/>
      <c r="O37" s="819"/>
      <c r="P37" s="282"/>
      <c r="Q37" s="282"/>
      <c r="R37" s="282"/>
      <c r="S37" s="281"/>
    </row>
    <row r="38" spans="1:15" ht="15">
      <c r="A38" s="43" t="s">
        <v>87</v>
      </c>
      <c r="B38" s="44">
        <f>B34+B36</f>
        <v>0</v>
      </c>
      <c r="C38" s="45">
        <f>C34+C36</f>
        <v>0</v>
      </c>
      <c r="D38" s="45">
        <f aca="true" t="shared" si="17" ref="D38:O38">D34+D36</f>
        <v>3575.972588115492</v>
      </c>
      <c r="E38" s="45">
        <f t="shared" si="17"/>
        <v>7245.281515461093</v>
      </c>
      <c r="F38" s="45">
        <f t="shared" si="17"/>
        <v>11008.428829977902</v>
      </c>
      <c r="G38" s="45">
        <f t="shared" si="17"/>
        <v>14865.98278351548</v>
      </c>
      <c r="H38" s="45">
        <f t="shared" si="17"/>
        <v>15054.714086157659</v>
      </c>
      <c r="I38" s="45">
        <f t="shared" si="17"/>
        <v>17929.37646927786</v>
      </c>
      <c r="J38" s="45">
        <f t="shared" si="17"/>
        <v>18151.205450141533</v>
      </c>
      <c r="K38" s="45">
        <f t="shared" si="17"/>
        <v>18371.05953261377</v>
      </c>
      <c r="L38" s="45">
        <f t="shared" si="17"/>
        <v>18589.8676106997</v>
      </c>
      <c r="M38" s="45">
        <f t="shared" si="17"/>
        <v>18806.317753189192</v>
      </c>
      <c r="N38" s="45">
        <f t="shared" si="17"/>
        <v>22264.841095770815</v>
      </c>
      <c r="O38" s="874">
        <f t="shared" si="17"/>
        <v>22513.13824591265</v>
      </c>
    </row>
    <row r="39" spans="1:15" ht="15">
      <c r="A39" s="43" t="s">
        <v>69</v>
      </c>
      <c r="B39" s="270">
        <f>B38/(ECO!L$66*1000)</f>
        <v>0</v>
      </c>
      <c r="C39" s="271">
        <f>C38/(ECO!M$66*1000)</f>
        <v>0</v>
      </c>
      <c r="D39" s="271">
        <f>D38/(ECO!N$66*1000)</f>
        <v>0.00021577213395663307</v>
      </c>
      <c r="E39" s="271">
        <f>E38/(ECO!O$66*1000)</f>
        <v>0.0003973490425966353</v>
      </c>
      <c r="F39" s="271">
        <f>F38/(ECO!P$66*1000)</f>
        <v>0.0005492428213286061</v>
      </c>
      <c r="G39" s="271">
        <f>G38/(ECO!Q$66*1000)</f>
        <v>0.0006755462728381906</v>
      </c>
      <c r="H39" s="271">
        <f>H38/(ECO!R$66*1000)</f>
        <v>0.0006453987551520597</v>
      </c>
      <c r="I39" s="271">
        <f>I38/(ECO!S$66*1000)</f>
        <v>0.0007251284295717827</v>
      </c>
      <c r="J39" s="271">
        <f>J38/(ECO!T$66*1000)</f>
        <v>0.0006925471612241189</v>
      </c>
      <c r="K39" s="271">
        <f>K38/(ECO!U$66*1000)</f>
        <v>0.000661259950368322</v>
      </c>
      <c r="L39" s="271">
        <f>L38/(ECO!V$66*1000)</f>
        <v>0.0006312602562795111</v>
      </c>
      <c r="M39" s="271">
        <f>M38/(ECO!W$66*1000)</f>
        <v>0.0006024625488304294</v>
      </c>
      <c r="N39" s="271">
        <f>N38/(ECO!X$66*1000)</f>
        <v>0.0006728837181759697</v>
      </c>
      <c r="O39" s="968">
        <f>O38/(ECO!Y$66*1000)</f>
        <v>0.0006418751948952539</v>
      </c>
    </row>
    <row r="40" spans="1:15" ht="15">
      <c r="A40" s="969" t="s">
        <v>71</v>
      </c>
      <c r="B40" s="970">
        <f>B38/('GGO (SQ)'!L$24*1000)</f>
        <v>0</v>
      </c>
      <c r="C40" s="964">
        <f>C38/('GGO (SQ)'!M$24*1000)</f>
        <v>0</v>
      </c>
      <c r="D40" s="964">
        <f>D38/('GGO (SQ)'!N$24*1000)</f>
        <v>0.0013756757178893131</v>
      </c>
      <c r="E40" s="964">
        <f>E38/('GGO (SQ)'!O$24*1000)</f>
        <v>0.00253333653147547</v>
      </c>
      <c r="F40" s="964">
        <f>F38/('GGO (SQ)'!P$24*1000)</f>
        <v>0.0035017497332562957</v>
      </c>
      <c r="G40" s="964">
        <f>G38/('GGO (SQ)'!Q$24*1000)</f>
        <v>0.004307009375181454</v>
      </c>
      <c r="H40" s="964">
        <f>H38/('GGO (SQ)'!R$24*1000)</f>
        <v>0.0041148010150241394</v>
      </c>
      <c r="I40" s="964">
        <f>I38/('GGO (SQ)'!S$24*1000)</f>
        <v>0.004623125121029775</v>
      </c>
      <c r="J40" s="964">
        <f>J38/('GGO (SQ)'!T$24*1000)</f>
        <v>0.004415400152554813</v>
      </c>
      <c r="K40" s="964">
        <f>K38/('GGO (SQ)'!U$24*1000)</f>
        <v>0.004215925570431743</v>
      </c>
      <c r="L40" s="964">
        <f>L38/('GGO (SQ)'!V$24*1000)</f>
        <v>0.004024659673648337</v>
      </c>
      <c r="M40" s="964">
        <f>M38/('GGO (SQ)'!W$24*1000)</f>
        <v>0.003841057156761034</v>
      </c>
      <c r="N40" s="964">
        <f>N38/('GGO (SQ)'!X$24*1000)</f>
        <v>0.0042900340052427835</v>
      </c>
      <c r="O40" s="971">
        <f>O38/('GGO (SQ)'!Y$24*1000)</f>
        <v>0.00409233622220348</v>
      </c>
    </row>
    <row r="41" spans="1:15" ht="15">
      <c r="A41" s="46"/>
      <c r="B41" s="47"/>
      <c r="C41" s="47"/>
      <c r="D41" s="47"/>
      <c r="E41" s="47"/>
      <c r="F41" s="47"/>
      <c r="G41" s="47"/>
      <c r="H41" s="47"/>
      <c r="I41" s="47"/>
      <c r="J41" s="47"/>
      <c r="K41" s="47"/>
      <c r="L41" s="47"/>
      <c r="M41" s="47"/>
      <c r="N41" s="47"/>
      <c r="O41" s="47"/>
    </row>
    <row r="42" spans="1:16" ht="14.25" customHeight="1">
      <c r="A42" s="1117" t="s">
        <v>508</v>
      </c>
      <c r="B42" s="1118"/>
      <c r="C42" s="1118"/>
      <c r="D42" s="1118"/>
      <c r="E42" s="1118"/>
      <c r="F42" s="1118"/>
      <c r="G42" s="1118"/>
      <c r="H42" s="1118"/>
      <c r="I42" s="1118"/>
      <c r="J42" s="1118"/>
      <c r="K42" s="1118"/>
      <c r="L42" s="1118"/>
      <c r="M42" s="1118"/>
      <c r="N42" s="1118"/>
      <c r="O42" s="1119"/>
      <c r="P42" s="1158"/>
    </row>
    <row r="43" spans="1:16" ht="15">
      <c r="A43" s="30" t="s">
        <v>128</v>
      </c>
      <c r="B43" s="33">
        <f>POP!L77</f>
        <v>1561.3543658641445</v>
      </c>
      <c r="C43" s="34">
        <f>POP!M77</f>
        <v>1585.402634200344</v>
      </c>
      <c r="D43" s="34">
        <f>POP!N77</f>
        <v>1609.3578724849526</v>
      </c>
      <c r="E43" s="34">
        <f>POP!O77</f>
        <v>1633.3131107695615</v>
      </c>
      <c r="F43" s="34">
        <f>POP!P77</f>
        <v>1657.2838540627686</v>
      </c>
      <c r="G43" s="34">
        <f>POP!Q77</f>
        <v>1681.3011123817712</v>
      </c>
      <c r="H43" s="34">
        <f>POP!R77</f>
        <v>1705.3648857265691</v>
      </c>
      <c r="I43" s="694">
        <f>POP!S77</f>
        <v>1729.3821440455717</v>
      </c>
      <c r="J43" s="694">
        <f>POP!T77</f>
        <v>1753.4149073731728</v>
      </c>
      <c r="K43" s="694">
        <f>POP!U77</f>
        <v>1777.246105588994</v>
      </c>
      <c r="L43" s="694">
        <f>POP!V77</f>
        <v>1800.9532637360273</v>
      </c>
      <c r="M43" s="694">
        <f>POP!W77</f>
        <v>1824.4278467540842</v>
      </c>
      <c r="N43" s="694">
        <f>POP!X77</f>
        <v>1847.6698546431642</v>
      </c>
      <c r="O43" s="693">
        <f>POP!Y77</f>
        <v>1870.7102974204643</v>
      </c>
      <c r="P43" s="1131"/>
    </row>
    <row r="44" spans="1:16" s="35" customFormat="1" ht="15">
      <c r="A44" s="32" t="s">
        <v>74</v>
      </c>
      <c r="B44" s="268">
        <v>0</v>
      </c>
      <c r="C44" s="269">
        <v>0</v>
      </c>
      <c r="D44" s="269">
        <v>0.25</v>
      </c>
      <c r="E44" s="269">
        <v>0.5</v>
      </c>
      <c r="F44" s="269">
        <v>0.75</v>
      </c>
      <c r="G44" s="269">
        <v>1</v>
      </c>
      <c r="H44" s="269">
        <v>1</v>
      </c>
      <c r="I44" s="269">
        <v>1</v>
      </c>
      <c r="J44" s="269">
        <v>1</v>
      </c>
      <c r="K44" s="269">
        <v>1</v>
      </c>
      <c r="L44" s="269">
        <v>1</v>
      </c>
      <c r="M44" s="269">
        <v>1</v>
      </c>
      <c r="N44" s="269">
        <v>1</v>
      </c>
      <c r="O44" s="906">
        <v>1</v>
      </c>
      <c r="P44" s="1131"/>
    </row>
    <row r="45" spans="1:16" s="35" customFormat="1" ht="15">
      <c r="A45" s="32" t="s">
        <v>70</v>
      </c>
      <c r="B45" s="33">
        <f aca="true" t="shared" si="18" ref="B45:O45">B43*B44</f>
        <v>0</v>
      </c>
      <c r="C45" s="34">
        <f t="shared" si="18"/>
        <v>0</v>
      </c>
      <c r="D45" s="34">
        <f t="shared" si="18"/>
        <v>402.33946812123816</v>
      </c>
      <c r="E45" s="34">
        <f t="shared" si="18"/>
        <v>816.6565553847807</v>
      </c>
      <c r="F45" s="34">
        <f t="shared" si="18"/>
        <v>1242.9628905470763</v>
      </c>
      <c r="G45" s="34">
        <f t="shared" si="18"/>
        <v>1681.3011123817712</v>
      </c>
      <c r="H45" s="34">
        <f t="shared" si="18"/>
        <v>1705.3648857265691</v>
      </c>
      <c r="I45" s="34">
        <f t="shared" si="18"/>
        <v>1729.3821440455717</v>
      </c>
      <c r="J45" s="34">
        <f t="shared" si="18"/>
        <v>1753.4149073731728</v>
      </c>
      <c r="K45" s="34">
        <f t="shared" si="18"/>
        <v>1777.246105588994</v>
      </c>
      <c r="L45" s="34">
        <f t="shared" si="18"/>
        <v>1800.9532637360273</v>
      </c>
      <c r="M45" s="34">
        <f t="shared" si="18"/>
        <v>1824.4278467540842</v>
      </c>
      <c r="N45" s="34">
        <f t="shared" si="18"/>
        <v>1847.6698546431642</v>
      </c>
      <c r="O45" s="819">
        <f t="shared" si="18"/>
        <v>1870.7102974204643</v>
      </c>
      <c r="P45" s="1131"/>
    </row>
    <row r="46" spans="1:16" s="35" customFormat="1" ht="15">
      <c r="A46" s="32"/>
      <c r="B46" s="33"/>
      <c r="C46" s="34"/>
      <c r="D46" s="34"/>
      <c r="E46" s="34"/>
      <c r="F46" s="34"/>
      <c r="G46" s="34"/>
      <c r="H46" s="34"/>
      <c r="I46" s="34"/>
      <c r="J46" s="34"/>
      <c r="K46" s="34"/>
      <c r="L46" s="34"/>
      <c r="M46" s="34"/>
      <c r="N46" s="34"/>
      <c r="O46" s="819"/>
      <c r="P46" s="1131"/>
    </row>
    <row r="47" spans="1:16" s="35" customFormat="1" ht="15">
      <c r="A47" s="32" t="s">
        <v>358</v>
      </c>
      <c r="B47" s="33">
        <f>750*12</f>
        <v>9000</v>
      </c>
      <c r="C47" s="34">
        <f aca="true" t="shared" si="19" ref="C47:H47">B47</f>
        <v>9000</v>
      </c>
      <c r="D47" s="34">
        <f t="shared" si="19"/>
        <v>9000</v>
      </c>
      <c r="E47" s="34">
        <f t="shared" si="19"/>
        <v>9000</v>
      </c>
      <c r="F47" s="34">
        <f t="shared" si="19"/>
        <v>9000</v>
      </c>
      <c r="G47" s="34">
        <f t="shared" si="19"/>
        <v>9000</v>
      </c>
      <c r="H47" s="34">
        <f t="shared" si="19"/>
        <v>9000</v>
      </c>
      <c r="I47" s="34">
        <f>(H47*(1+ECO!O10)*(1+ECO!P10)*(1+ECO!Q10)*(1+ECO!R10)*(1+ECO!S10))</f>
        <v>10586.060546135039</v>
      </c>
      <c r="J47" s="34">
        <f>I47</f>
        <v>10586.060546135039</v>
      </c>
      <c r="K47" s="34">
        <f aca="true" t="shared" si="20" ref="K47:O47">J47</f>
        <v>10586.060546135039</v>
      </c>
      <c r="L47" s="34">
        <f t="shared" si="20"/>
        <v>10586.060546135039</v>
      </c>
      <c r="M47" s="34">
        <f t="shared" si="20"/>
        <v>10586.060546135039</v>
      </c>
      <c r="N47" s="34">
        <f>(M47*(1+ECO!T10)*(1+ECO!U10)*(1+ECO!V10)*(1+ECO!W10)*(1+ECO!X10))</f>
        <v>12391.756190483193</v>
      </c>
      <c r="O47" s="819">
        <f t="shared" si="20"/>
        <v>12391.756190483193</v>
      </c>
      <c r="P47" s="1131"/>
    </row>
    <row r="48" spans="1:15" s="35" customFormat="1" ht="15">
      <c r="A48" s="32" t="s">
        <v>359</v>
      </c>
      <c r="B48" s="33">
        <f>B45*B47/1000</f>
        <v>0</v>
      </c>
      <c r="C48" s="34">
        <f>C45*C47/1000</f>
        <v>0</v>
      </c>
      <c r="D48" s="34">
        <f aca="true" t="shared" si="21" ref="D48:O48">D45*D47/1000</f>
        <v>3621.0552130911433</v>
      </c>
      <c r="E48" s="34">
        <f t="shared" si="21"/>
        <v>7349.908998463026</v>
      </c>
      <c r="F48" s="34">
        <f t="shared" si="21"/>
        <v>11186.666014923687</v>
      </c>
      <c r="G48" s="34">
        <f t="shared" si="21"/>
        <v>15131.71001143594</v>
      </c>
      <c r="H48" s="34">
        <f t="shared" si="21"/>
        <v>15348.283971539124</v>
      </c>
      <c r="I48" s="34">
        <f t="shared" si="21"/>
        <v>18307.344084271248</v>
      </c>
      <c r="J48" s="34">
        <f t="shared" si="21"/>
        <v>18561.756371948166</v>
      </c>
      <c r="K48" s="34">
        <f t="shared" si="21"/>
        <v>18814.034879147795</v>
      </c>
      <c r="L48" s="34">
        <f t="shared" si="21"/>
        <v>19065.00029066909</v>
      </c>
      <c r="M48" s="34">
        <f t="shared" si="21"/>
        <v>19313.503647793514</v>
      </c>
      <c r="N48" s="34">
        <f t="shared" si="21"/>
        <v>22895.874359243608</v>
      </c>
      <c r="O48" s="819">
        <f t="shared" si="21"/>
        <v>23181.38590866069</v>
      </c>
    </row>
    <row r="49" spans="1:15" s="35" customFormat="1" ht="15">
      <c r="A49" s="32"/>
      <c r="B49" s="33"/>
      <c r="C49" s="34"/>
      <c r="D49" s="34"/>
      <c r="E49" s="34"/>
      <c r="F49" s="34"/>
      <c r="G49" s="34"/>
      <c r="H49" s="34"/>
      <c r="I49" s="34"/>
      <c r="J49" s="34"/>
      <c r="K49" s="34"/>
      <c r="L49" s="34"/>
      <c r="M49" s="34"/>
      <c r="N49" s="34"/>
      <c r="O49" s="819"/>
    </row>
    <row r="50" spans="1:15" s="35" customFormat="1" ht="15">
      <c r="A50" s="32" t="s">
        <v>86</v>
      </c>
      <c r="B50" s="33">
        <f>15%*B48</f>
        <v>0</v>
      </c>
      <c r="C50" s="34">
        <f>15%*C48</f>
        <v>0</v>
      </c>
      <c r="D50" s="34">
        <f aca="true" t="shared" si="22" ref="D50:O50">15%*D48</f>
        <v>543.1582819636715</v>
      </c>
      <c r="E50" s="34">
        <f t="shared" si="22"/>
        <v>1102.486349769454</v>
      </c>
      <c r="F50" s="34">
        <f t="shared" si="22"/>
        <v>1677.999902238553</v>
      </c>
      <c r="G50" s="34">
        <f t="shared" si="22"/>
        <v>2269.756501715391</v>
      </c>
      <c r="H50" s="34">
        <f t="shared" si="22"/>
        <v>2302.2425957308683</v>
      </c>
      <c r="I50" s="34">
        <f t="shared" si="22"/>
        <v>2746.101612640687</v>
      </c>
      <c r="J50" s="34">
        <f t="shared" si="22"/>
        <v>2784.2634557922247</v>
      </c>
      <c r="K50" s="34">
        <f t="shared" si="22"/>
        <v>2822.105231872169</v>
      </c>
      <c r="L50" s="34">
        <f t="shared" si="22"/>
        <v>2859.7500436003634</v>
      </c>
      <c r="M50" s="34">
        <f t="shared" si="22"/>
        <v>2897.025547169027</v>
      </c>
      <c r="N50" s="34">
        <f t="shared" si="22"/>
        <v>3434.381153886541</v>
      </c>
      <c r="O50" s="819">
        <f t="shared" si="22"/>
        <v>3477.2078862991034</v>
      </c>
    </row>
    <row r="51" spans="1:19" s="35" customFormat="1" ht="15">
      <c r="A51" s="32"/>
      <c r="B51" s="33"/>
      <c r="C51" s="34"/>
      <c r="D51" s="34"/>
      <c r="E51" s="34"/>
      <c r="F51" s="34"/>
      <c r="G51" s="34"/>
      <c r="H51" s="34"/>
      <c r="I51" s="34"/>
      <c r="J51" s="34"/>
      <c r="K51" s="34"/>
      <c r="L51" s="34"/>
      <c r="M51" s="34"/>
      <c r="N51" s="34"/>
      <c r="O51" s="819"/>
      <c r="P51" s="282"/>
      <c r="Q51" s="282"/>
      <c r="R51" s="282"/>
      <c r="S51" s="281"/>
    </row>
    <row r="52" spans="1:15" ht="15">
      <c r="A52" s="43" t="s">
        <v>88</v>
      </c>
      <c r="B52" s="44">
        <f>B48+B50</f>
        <v>0</v>
      </c>
      <c r="C52" s="45">
        <f>C48+C50</f>
        <v>0</v>
      </c>
      <c r="D52" s="45">
        <f aca="true" t="shared" si="23" ref="D52:O52">D48+D50</f>
        <v>4164.213495054815</v>
      </c>
      <c r="E52" s="45">
        <f t="shared" si="23"/>
        <v>8452.39534823248</v>
      </c>
      <c r="F52" s="45">
        <f t="shared" si="23"/>
        <v>12864.66591716224</v>
      </c>
      <c r="G52" s="45">
        <f t="shared" si="23"/>
        <v>17401.466513151332</v>
      </c>
      <c r="H52" s="45">
        <f t="shared" si="23"/>
        <v>17650.526567269993</v>
      </c>
      <c r="I52" s="45">
        <f t="shared" si="23"/>
        <v>21053.445696911935</v>
      </c>
      <c r="J52" s="45">
        <f t="shared" si="23"/>
        <v>21346.01982774039</v>
      </c>
      <c r="K52" s="45">
        <f t="shared" si="23"/>
        <v>21636.140111019966</v>
      </c>
      <c r="L52" s="45">
        <f t="shared" si="23"/>
        <v>21924.750334269454</v>
      </c>
      <c r="M52" s="45">
        <f t="shared" si="23"/>
        <v>22210.52919496254</v>
      </c>
      <c r="N52" s="45">
        <f t="shared" si="23"/>
        <v>26330.25551313015</v>
      </c>
      <c r="O52" s="874">
        <f t="shared" si="23"/>
        <v>26658.593794959794</v>
      </c>
    </row>
    <row r="53" spans="1:15" ht="15">
      <c r="A53" s="43" t="s">
        <v>69</v>
      </c>
      <c r="B53" s="270">
        <f>B52/(ECO!L$66*1000)</f>
        <v>0</v>
      </c>
      <c r="C53" s="271">
        <f>C52/(ECO!M$66*1000)</f>
        <v>0</v>
      </c>
      <c r="D53" s="271">
        <f>D52/(ECO!N$66*1000)</f>
        <v>0.0002512662527294428</v>
      </c>
      <c r="E53" s="271">
        <f>E52/(ECO!O$66*1000)</f>
        <v>0.0004635501315030255</v>
      </c>
      <c r="F53" s="271">
        <f>F52/(ECO!P$66*1000)</f>
        <v>0.0006418559372024692</v>
      </c>
      <c r="G53" s="271">
        <f>G52/(ECO!Q$66*1000)</f>
        <v>0.0007907647961164965</v>
      </c>
      <c r="H53" s="271">
        <f>H52/(ECO!R$66*1000)</f>
        <v>0.0007566817814739277</v>
      </c>
      <c r="I53" s="271">
        <f>I52/(ECO!S$66*1000)</f>
        <v>0.0008514770182574811</v>
      </c>
      <c r="J53" s="271">
        <f>J52/(ECO!T$66*1000)</f>
        <v>0.000814443177107011</v>
      </c>
      <c r="K53" s="271">
        <f>K52/(ECO!U$66*1000)</f>
        <v>0.0007787853994254384</v>
      </c>
      <c r="L53" s="271">
        <f>L52/(ECO!V$66*1000)</f>
        <v>0.0007445036083478759</v>
      </c>
      <c r="M53" s="271">
        <f>M52/(ECO!W$66*1000)</f>
        <v>0.0007115168532872753</v>
      </c>
      <c r="N53" s="271">
        <f>N52/(ECO!X$66*1000)</f>
        <v>0.0007957478858254105</v>
      </c>
      <c r="O53" s="968">
        <f>O52/(ECO!Y$66*1000)</f>
        <v>0.0007600668507812269</v>
      </c>
    </row>
    <row r="54" spans="1:15" ht="15">
      <c r="A54" s="969" t="s">
        <v>71</v>
      </c>
      <c r="B54" s="970">
        <f>B52/('GGO (SQ)'!L$24*1000)</f>
        <v>0</v>
      </c>
      <c r="C54" s="964">
        <f>C52/('GGO (SQ)'!M$24*1000)</f>
        <v>0</v>
      </c>
      <c r="D54" s="964">
        <f>D52/('GGO (SQ)'!N$24*1000)</f>
        <v>0.0016019718406937865</v>
      </c>
      <c r="E54" s="964">
        <f>E52/('GGO (SQ)'!O$24*1000)</f>
        <v>0.0029554078566107933</v>
      </c>
      <c r="F54" s="964">
        <f>F52/('GGO (SQ)'!P$24*1000)</f>
        <v>0.0040922134429554795</v>
      </c>
      <c r="G54" s="964">
        <f>G52/('GGO (SQ)'!Q$24*1000)</f>
        <v>0.005041596005153269</v>
      </c>
      <c r="H54" s="964">
        <f>H52/('GGO (SQ)'!R$24*1000)</f>
        <v>0.0048242965106519466</v>
      </c>
      <c r="I54" s="964">
        <f>I52/('GGO (SQ)'!S$24*1000)</f>
        <v>0.00542867253930499</v>
      </c>
      <c r="J54" s="964">
        <f>J52/('GGO (SQ)'!T$24*1000)</f>
        <v>0.00519255977035443</v>
      </c>
      <c r="K54" s="964">
        <f>K52/('GGO (SQ)'!U$24*1000)</f>
        <v>0.004965220224645096</v>
      </c>
      <c r="L54" s="964">
        <f>L52/('GGO (SQ)'!V$24*1000)</f>
        <v>0.004746653412117598</v>
      </c>
      <c r="M54" s="964">
        <f>M52/('GGO (SQ)'!W$24*1000)</f>
        <v>0.004536343224621602</v>
      </c>
      <c r="N54" s="964">
        <f>N52/('GGO (SQ)'!X$24*1000)</f>
        <v>0.00507336616651245</v>
      </c>
      <c r="O54" s="971">
        <f>O52/('GGO (SQ)'!Y$24*1000)</f>
        <v>0.0048458783412805495</v>
      </c>
    </row>
    <row r="55" spans="1:16" ht="15">
      <c r="A55" s="46"/>
      <c r="B55" s="609"/>
      <c r="C55" s="609"/>
      <c r="D55" s="609"/>
      <c r="E55" s="609"/>
      <c r="F55" s="609"/>
      <c r="G55" s="269"/>
      <c r="H55" s="269"/>
      <c r="I55" s="609"/>
      <c r="J55" s="609"/>
      <c r="K55" s="609"/>
      <c r="L55" s="609"/>
      <c r="M55" s="609"/>
      <c r="N55" s="609"/>
      <c r="O55" s="609"/>
      <c r="P55" s="31"/>
    </row>
    <row r="56" spans="1:16" ht="14.25" customHeight="1">
      <c r="A56" s="1117" t="s">
        <v>574</v>
      </c>
      <c r="B56" s="1118"/>
      <c r="C56" s="1118"/>
      <c r="D56" s="1118"/>
      <c r="E56" s="1118"/>
      <c r="F56" s="1118"/>
      <c r="G56" s="1118"/>
      <c r="H56" s="1118"/>
      <c r="I56" s="1118"/>
      <c r="J56" s="1118"/>
      <c r="K56" s="1118"/>
      <c r="L56" s="1118"/>
      <c r="M56" s="1118"/>
      <c r="N56" s="1118"/>
      <c r="O56" s="1119"/>
      <c r="P56" s="1158"/>
    </row>
    <row r="57" spans="1:16" ht="15">
      <c r="A57" s="30" t="s">
        <v>128</v>
      </c>
      <c r="B57" s="33">
        <f>POP!L77</f>
        <v>1561.3543658641445</v>
      </c>
      <c r="C57" s="34">
        <f>POP!M77</f>
        <v>1585.402634200344</v>
      </c>
      <c r="D57" s="34">
        <f>POP!N77</f>
        <v>1609.3578724849526</v>
      </c>
      <c r="E57" s="34">
        <f>POP!O77</f>
        <v>1633.3131107695615</v>
      </c>
      <c r="F57" s="34">
        <f>POP!P77</f>
        <v>1657.2838540627686</v>
      </c>
      <c r="G57" s="34">
        <f>POP!Q77</f>
        <v>1681.3011123817712</v>
      </c>
      <c r="H57" s="34">
        <f>POP!R77</f>
        <v>1705.3648857265691</v>
      </c>
      <c r="I57" s="694">
        <f>POP!S77</f>
        <v>1729.3821440455717</v>
      </c>
      <c r="J57" s="694">
        <f>POP!T77</f>
        <v>1753.4149073731728</v>
      </c>
      <c r="K57" s="694">
        <f>POP!U77</f>
        <v>1777.246105588994</v>
      </c>
      <c r="L57" s="694">
        <f>POP!V77</f>
        <v>1800.9532637360273</v>
      </c>
      <c r="M57" s="694">
        <f>POP!W77</f>
        <v>1824.4278467540842</v>
      </c>
      <c r="N57" s="694">
        <f>POP!X77</f>
        <v>1847.6698546431642</v>
      </c>
      <c r="O57" s="693">
        <f>POP!Y77</f>
        <v>1870.7102974204643</v>
      </c>
      <c r="P57" s="1131"/>
    </row>
    <row r="58" spans="1:16" s="35" customFormat="1" ht="15">
      <c r="A58" s="32" t="s">
        <v>74</v>
      </c>
      <c r="B58" s="268">
        <v>0</v>
      </c>
      <c r="C58" s="269">
        <v>0</v>
      </c>
      <c r="D58" s="269">
        <v>0.25</v>
      </c>
      <c r="E58" s="269">
        <v>0.5</v>
      </c>
      <c r="F58" s="269">
        <v>0.75</v>
      </c>
      <c r="G58" s="269">
        <v>1</v>
      </c>
      <c r="H58" s="269">
        <v>1</v>
      </c>
      <c r="I58" s="269">
        <v>1</v>
      </c>
      <c r="J58" s="269">
        <v>1</v>
      </c>
      <c r="K58" s="269">
        <v>1</v>
      </c>
      <c r="L58" s="269">
        <v>1</v>
      </c>
      <c r="M58" s="269">
        <v>1</v>
      </c>
      <c r="N58" s="269">
        <v>1</v>
      </c>
      <c r="O58" s="906">
        <v>1</v>
      </c>
      <c r="P58" s="1131"/>
    </row>
    <row r="59" spans="1:16" s="35" customFormat="1" ht="15">
      <c r="A59" s="32" t="s">
        <v>70</v>
      </c>
      <c r="B59" s="33">
        <f aca="true" t="shared" si="24" ref="B59:O59">B57*B58</f>
        <v>0</v>
      </c>
      <c r="C59" s="34">
        <f t="shared" si="24"/>
        <v>0</v>
      </c>
      <c r="D59" s="34">
        <f t="shared" si="24"/>
        <v>402.33946812123816</v>
      </c>
      <c r="E59" s="34">
        <f t="shared" si="24"/>
        <v>816.6565553847807</v>
      </c>
      <c r="F59" s="34">
        <f t="shared" si="24"/>
        <v>1242.9628905470763</v>
      </c>
      <c r="G59" s="34">
        <f t="shared" si="24"/>
        <v>1681.3011123817712</v>
      </c>
      <c r="H59" s="34">
        <f t="shared" si="24"/>
        <v>1705.3648857265691</v>
      </c>
      <c r="I59" s="34">
        <f t="shared" si="24"/>
        <v>1729.3821440455717</v>
      </c>
      <c r="J59" s="34">
        <f t="shared" si="24"/>
        <v>1753.4149073731728</v>
      </c>
      <c r="K59" s="34">
        <f t="shared" si="24"/>
        <v>1777.246105588994</v>
      </c>
      <c r="L59" s="34">
        <f t="shared" si="24"/>
        <v>1800.9532637360273</v>
      </c>
      <c r="M59" s="34">
        <f t="shared" si="24"/>
        <v>1824.4278467540842</v>
      </c>
      <c r="N59" s="34">
        <f t="shared" si="24"/>
        <v>1847.6698546431642</v>
      </c>
      <c r="O59" s="819">
        <f t="shared" si="24"/>
        <v>1870.7102974204643</v>
      </c>
      <c r="P59" s="1131"/>
    </row>
    <row r="60" spans="1:16" s="35" customFormat="1" ht="15">
      <c r="A60" s="32"/>
      <c r="B60" s="33"/>
      <c r="C60" s="34"/>
      <c r="D60" s="34"/>
      <c r="E60" s="34"/>
      <c r="F60" s="34"/>
      <c r="G60" s="34"/>
      <c r="H60" s="34"/>
      <c r="I60" s="34"/>
      <c r="J60" s="34"/>
      <c r="K60" s="34"/>
      <c r="L60" s="34"/>
      <c r="M60" s="34"/>
      <c r="N60" s="34"/>
      <c r="O60" s="819"/>
      <c r="P60" s="1131"/>
    </row>
    <row r="61" spans="1:16" s="35" customFormat="1" ht="15">
      <c r="A61" s="32" t="s">
        <v>358</v>
      </c>
      <c r="B61" s="33">
        <f>1000*12</f>
        <v>12000</v>
      </c>
      <c r="C61" s="34">
        <f aca="true" t="shared" si="25" ref="C61:H61">B61</f>
        <v>12000</v>
      </c>
      <c r="D61" s="34">
        <f t="shared" si="25"/>
        <v>12000</v>
      </c>
      <c r="E61" s="34">
        <f t="shared" si="25"/>
        <v>12000</v>
      </c>
      <c r="F61" s="34">
        <f t="shared" si="25"/>
        <v>12000</v>
      </c>
      <c r="G61" s="34">
        <f t="shared" si="25"/>
        <v>12000</v>
      </c>
      <c r="H61" s="34">
        <f t="shared" si="25"/>
        <v>12000</v>
      </c>
      <c r="I61" s="34">
        <f>(H61*(1+ECO!O10)*(1+ECO!P10)*(1+ECO!Q10)*(1+ECO!R10)*(1+ECO!S10))</f>
        <v>14114.74739484672</v>
      </c>
      <c r="J61" s="34">
        <f>I61</f>
        <v>14114.74739484672</v>
      </c>
      <c r="K61" s="34">
        <f aca="true" t="shared" si="26" ref="K61:O61">J61</f>
        <v>14114.74739484672</v>
      </c>
      <c r="L61" s="34">
        <f t="shared" si="26"/>
        <v>14114.74739484672</v>
      </c>
      <c r="M61" s="34">
        <f t="shared" si="26"/>
        <v>14114.74739484672</v>
      </c>
      <c r="N61" s="34">
        <f>(M61*(1+ECO!T10)*(1+ECO!U10)*(1+ECO!V10)*(1+ECO!W10)*(1+ECO!X10))</f>
        <v>16522.341587310922</v>
      </c>
      <c r="O61" s="819">
        <f t="shared" si="26"/>
        <v>16522.341587310922</v>
      </c>
      <c r="P61" s="1131"/>
    </row>
    <row r="62" spans="1:15" s="35" customFormat="1" ht="15">
      <c r="A62" s="32" t="s">
        <v>181</v>
      </c>
      <c r="B62" s="33">
        <f>B59*B61/1000</f>
        <v>0</v>
      </c>
      <c r="C62" s="34">
        <f>C59*C61/1000</f>
        <v>0</v>
      </c>
      <c r="D62" s="34">
        <f aca="true" t="shared" si="27" ref="D62:O62">D59*D61/1000</f>
        <v>4828.073617454857</v>
      </c>
      <c r="E62" s="34">
        <f t="shared" si="27"/>
        <v>9799.878664617368</v>
      </c>
      <c r="F62" s="34">
        <f t="shared" si="27"/>
        <v>14915.554686564916</v>
      </c>
      <c r="G62" s="34">
        <f t="shared" si="27"/>
        <v>20175.613348581253</v>
      </c>
      <c r="H62" s="34">
        <f t="shared" si="27"/>
        <v>20464.37862871883</v>
      </c>
      <c r="I62" s="34">
        <f t="shared" si="27"/>
        <v>24409.79211236167</v>
      </c>
      <c r="J62" s="34">
        <f t="shared" si="27"/>
        <v>24749.00849593089</v>
      </c>
      <c r="K62" s="34">
        <f t="shared" si="27"/>
        <v>25085.37983886373</v>
      </c>
      <c r="L62" s="34">
        <f t="shared" si="27"/>
        <v>25420.000387558786</v>
      </c>
      <c r="M62" s="34">
        <f t="shared" si="27"/>
        <v>25751.33819705802</v>
      </c>
      <c r="N62" s="34">
        <f t="shared" si="27"/>
        <v>30527.83247899148</v>
      </c>
      <c r="O62" s="819">
        <f t="shared" si="27"/>
        <v>30908.514544880923</v>
      </c>
    </row>
    <row r="63" spans="1:15" s="35" customFormat="1" ht="15">
      <c r="A63" s="32"/>
      <c r="B63" s="33"/>
      <c r="C63" s="34"/>
      <c r="D63" s="34"/>
      <c r="E63" s="34"/>
      <c r="F63" s="34"/>
      <c r="G63" s="34"/>
      <c r="H63" s="34"/>
      <c r="I63" s="34"/>
      <c r="J63" s="34"/>
      <c r="K63" s="34"/>
      <c r="L63" s="34"/>
      <c r="M63" s="34"/>
      <c r="N63" s="34"/>
      <c r="O63" s="819"/>
    </row>
    <row r="64" spans="1:15" s="35" customFormat="1" ht="15">
      <c r="A64" s="32" t="s">
        <v>86</v>
      </c>
      <c r="B64" s="33">
        <f>15%*B62</f>
        <v>0</v>
      </c>
      <c r="C64" s="34">
        <f>15%*C62</f>
        <v>0</v>
      </c>
      <c r="D64" s="34">
        <f aca="true" t="shared" si="28" ref="D64:O64">15%*D62</f>
        <v>724.2110426182286</v>
      </c>
      <c r="E64" s="34">
        <f t="shared" si="28"/>
        <v>1469.9817996926051</v>
      </c>
      <c r="F64" s="34">
        <f t="shared" si="28"/>
        <v>2237.3332029847375</v>
      </c>
      <c r="G64" s="34">
        <f t="shared" si="28"/>
        <v>3026.342002287188</v>
      </c>
      <c r="H64" s="34">
        <f t="shared" si="28"/>
        <v>3069.6567943078244</v>
      </c>
      <c r="I64" s="34">
        <f t="shared" si="28"/>
        <v>3661.4688168542502</v>
      </c>
      <c r="J64" s="34">
        <f t="shared" si="28"/>
        <v>3712.3512743896335</v>
      </c>
      <c r="K64" s="34">
        <f t="shared" si="28"/>
        <v>3762.806975829559</v>
      </c>
      <c r="L64" s="34">
        <f t="shared" si="28"/>
        <v>3813.0000581338177</v>
      </c>
      <c r="M64" s="34">
        <f t="shared" si="28"/>
        <v>3862.7007295587027</v>
      </c>
      <c r="N64" s="34">
        <f t="shared" si="28"/>
        <v>4579.1748718487215</v>
      </c>
      <c r="O64" s="819">
        <f t="shared" si="28"/>
        <v>4636.277181732138</v>
      </c>
    </row>
    <row r="65" spans="1:19" s="35" customFormat="1" ht="15">
      <c r="A65" s="32"/>
      <c r="B65" s="33"/>
      <c r="C65" s="34"/>
      <c r="D65" s="34"/>
      <c r="E65" s="34"/>
      <c r="F65" s="34"/>
      <c r="G65" s="34"/>
      <c r="H65" s="34"/>
      <c r="I65" s="34"/>
      <c r="J65" s="34"/>
      <c r="K65" s="34"/>
      <c r="L65" s="34"/>
      <c r="M65" s="34"/>
      <c r="N65" s="34"/>
      <c r="O65" s="819"/>
      <c r="P65" s="282"/>
      <c r="Q65" s="282"/>
      <c r="R65" s="282"/>
      <c r="S65" s="281"/>
    </row>
    <row r="66" spans="1:15" ht="15">
      <c r="A66" s="43" t="s">
        <v>172</v>
      </c>
      <c r="B66" s="44">
        <f>B62+B64</f>
        <v>0</v>
      </c>
      <c r="C66" s="45">
        <f>C62+C64</f>
        <v>0</v>
      </c>
      <c r="D66" s="45">
        <f aca="true" t="shared" si="29" ref="D66:O66">D62+D64</f>
        <v>5552.284660073086</v>
      </c>
      <c r="E66" s="45">
        <f t="shared" si="29"/>
        <v>11269.860464309973</v>
      </c>
      <c r="F66" s="45">
        <f t="shared" si="29"/>
        <v>17152.887889549653</v>
      </c>
      <c r="G66" s="45">
        <f t="shared" si="29"/>
        <v>23201.95535086844</v>
      </c>
      <c r="H66" s="45">
        <f t="shared" si="29"/>
        <v>23534.035423026653</v>
      </c>
      <c r="I66" s="45">
        <f t="shared" si="29"/>
        <v>28071.260929215918</v>
      </c>
      <c r="J66" s="45">
        <f t="shared" si="29"/>
        <v>28461.359770320523</v>
      </c>
      <c r="K66" s="45">
        <f t="shared" si="29"/>
        <v>28848.18681469329</v>
      </c>
      <c r="L66" s="45">
        <f t="shared" si="29"/>
        <v>29233.000445692604</v>
      </c>
      <c r="M66" s="45">
        <f t="shared" si="29"/>
        <v>29614.038926616722</v>
      </c>
      <c r="N66" s="45">
        <f t="shared" si="29"/>
        <v>35107.0073508402</v>
      </c>
      <c r="O66" s="874">
        <f t="shared" si="29"/>
        <v>35544.79172661306</v>
      </c>
    </row>
    <row r="67" spans="1:15" ht="15">
      <c r="A67" s="43" t="s">
        <v>69</v>
      </c>
      <c r="B67" s="270">
        <f>B66/(ECO!L$66*1000)</f>
        <v>0</v>
      </c>
      <c r="C67" s="271">
        <f>C66/(ECO!M$66*1000)</f>
        <v>0</v>
      </c>
      <c r="D67" s="271">
        <f>D66/(ECO!N$66*1000)</f>
        <v>0.0003350216703059237</v>
      </c>
      <c r="E67" s="271">
        <f>E66/(ECO!O$66*1000)</f>
        <v>0.0006180668420040341</v>
      </c>
      <c r="F67" s="271">
        <f>F66/(ECO!P$66*1000)</f>
        <v>0.000855807916269959</v>
      </c>
      <c r="G67" s="271">
        <f>G66/(ECO!Q$66*1000)</f>
        <v>0.0010543530614886619</v>
      </c>
      <c r="H67" s="271">
        <f>H66/(ECO!R$66*1000)</f>
        <v>0.0010089090419652367</v>
      </c>
      <c r="I67" s="271">
        <f>I66/(ECO!S$66*1000)</f>
        <v>0.001135302691009975</v>
      </c>
      <c r="J67" s="271">
        <f>J66/(ECO!T$66*1000)</f>
        <v>0.0010859242361426814</v>
      </c>
      <c r="K67" s="271">
        <f>K66/(ECO!U$66*1000)</f>
        <v>0.0010383805325672514</v>
      </c>
      <c r="L67" s="271">
        <f>L66/(ECO!V$66*1000)</f>
        <v>0.0009926714777971678</v>
      </c>
      <c r="M67" s="271">
        <f>M66/(ECO!W$66*1000)</f>
        <v>0.0009486891377163672</v>
      </c>
      <c r="N67" s="271">
        <f>N66/(ECO!X$66*1000)</f>
        <v>0.0010609971811005473</v>
      </c>
      <c r="O67" s="968">
        <f>O66/(ECO!Y$66*1000)</f>
        <v>0.0010134224677083028</v>
      </c>
    </row>
    <row r="68" spans="1:15" ht="15">
      <c r="A68" s="969" t="s">
        <v>71</v>
      </c>
      <c r="B68" s="970">
        <f>B66/('GGO (SQ)'!L$24*1000)</f>
        <v>0</v>
      </c>
      <c r="C68" s="964">
        <f>C66/('GGO (SQ)'!M$24*1000)</f>
        <v>0</v>
      </c>
      <c r="D68" s="964">
        <f>D66/('GGO (SQ)'!N$24*1000)</f>
        <v>0.0021359624542583817</v>
      </c>
      <c r="E68" s="964">
        <f>E66/('GGO (SQ)'!O$24*1000)</f>
        <v>0.003940543808814392</v>
      </c>
      <c r="F68" s="964">
        <f>F66/('GGO (SQ)'!P$24*1000)</f>
        <v>0.005456284590607307</v>
      </c>
      <c r="G68" s="964">
        <f>G66/('GGO (SQ)'!Q$24*1000)</f>
        <v>0.006722128006871025</v>
      </c>
      <c r="H68" s="964">
        <f>H66/('GGO (SQ)'!R$24*1000)</f>
        <v>0.006432395347535928</v>
      </c>
      <c r="I68" s="964">
        <f>I66/('GGO (SQ)'!S$24*1000)</f>
        <v>0.007238230052406655</v>
      </c>
      <c r="J68" s="964">
        <f>J66/('GGO (SQ)'!T$24*1000)</f>
        <v>0.00692341302713924</v>
      </c>
      <c r="K68" s="964">
        <f>K66/('GGO (SQ)'!U$24*1000)</f>
        <v>0.006620293632860128</v>
      </c>
      <c r="L68" s="964">
        <f>L66/('GGO (SQ)'!V$24*1000)</f>
        <v>0.006328871216156797</v>
      </c>
      <c r="M68" s="964">
        <f>M66/('GGO (SQ)'!W$24*1000)</f>
        <v>0.006048457632828803</v>
      </c>
      <c r="N68" s="964">
        <f>N66/('GGO (SQ)'!X$24*1000)</f>
        <v>0.0067644882220165995</v>
      </c>
      <c r="O68" s="971">
        <f>O66/('GGO (SQ)'!Y$24*1000)</f>
        <v>0.006461171121707399</v>
      </c>
    </row>
  </sheetData>
  <mergeCells count="11">
    <mergeCell ref="P56:P61"/>
    <mergeCell ref="P42:P47"/>
    <mergeCell ref="P26:P33"/>
    <mergeCell ref="A26:O26"/>
    <mergeCell ref="A42:O42"/>
    <mergeCell ref="A56:O56"/>
    <mergeCell ref="F4:G4"/>
    <mergeCell ref="F5:G5"/>
    <mergeCell ref="P10:P17"/>
    <mergeCell ref="A10:O10"/>
    <mergeCell ref="A9:O9"/>
  </mergeCells>
  <printOptions/>
  <pageMargins left="0.7" right="0.7" top="0.787401575" bottom="0.7874015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000396251678"/>
  </sheetPr>
  <dimension ref="A1:AG159"/>
  <sheetViews>
    <sheetView zoomScale="80" zoomScaleNormal="80" zoomScaleSheetLayoutView="100" workbookViewId="0" topLeftCell="A1">
      <pane ySplit="8" topLeftCell="A9" activePane="bottomLeft" state="frozen"/>
      <selection pane="bottomLeft" activeCell="H101" sqref="H101"/>
    </sheetView>
  </sheetViews>
  <sheetFormatPr defaultColWidth="8.8515625" defaultRowHeight="15"/>
  <cols>
    <col min="1" max="1" width="93.57421875" style="35" customWidth="1"/>
    <col min="2" max="2" width="12.421875" style="35" bestFit="1" customWidth="1"/>
    <col min="3" max="6" width="10.421875" style="35" bestFit="1" customWidth="1"/>
    <col min="7" max="7" width="8.8515625" style="35" customWidth="1"/>
    <col min="8" max="8" width="10.421875" style="35" bestFit="1" customWidth="1"/>
    <col min="9" max="9" width="10.421875" style="41" bestFit="1" customWidth="1"/>
    <col min="10" max="15" width="10.421875" style="41" customWidth="1"/>
    <col min="16" max="23" width="10.28125" style="41" bestFit="1" customWidth="1"/>
    <col min="24" max="16384" width="8.8515625" style="41" customWidth="1"/>
  </cols>
  <sheetData>
    <row r="1" ht="18">
      <c r="A1" s="19" t="s">
        <v>126</v>
      </c>
    </row>
    <row r="2" spans="1:7" ht="15" customHeight="1">
      <c r="A2" s="225"/>
      <c r="E2" s="226" t="s">
        <v>23</v>
      </c>
      <c r="F2" s="227"/>
      <c r="G2" s="228" t="s">
        <v>66</v>
      </c>
    </row>
    <row r="3" spans="1:7" ht="15" customHeight="1">
      <c r="A3" s="41"/>
      <c r="E3" s="226" t="s">
        <v>19</v>
      </c>
      <c r="F3" s="227"/>
      <c r="G3" s="228" t="s">
        <v>81</v>
      </c>
    </row>
    <row r="4" spans="1:7" ht="15" customHeight="1">
      <c r="A4" s="41"/>
      <c r="E4" s="226" t="s">
        <v>24</v>
      </c>
      <c r="F4" s="1163">
        <f>README!H8</f>
        <v>41899</v>
      </c>
      <c r="G4" s="1163"/>
    </row>
    <row r="5" spans="1:7" ht="15" customHeight="1">
      <c r="A5" s="41"/>
      <c r="E5" s="226" t="s">
        <v>15</v>
      </c>
      <c r="F5" s="1163">
        <f>README!H9</f>
        <v>42394</v>
      </c>
      <c r="G5" s="1163"/>
    </row>
    <row r="6" spans="1:7" ht="15" customHeight="1">
      <c r="A6" s="41"/>
      <c r="E6" s="226" t="s">
        <v>16</v>
      </c>
      <c r="F6" s="227"/>
      <c r="G6" s="228" t="s">
        <v>120</v>
      </c>
    </row>
    <row r="7" ht="15" customHeight="1">
      <c r="A7" s="225"/>
    </row>
    <row r="8" spans="1:15" ht="15">
      <c r="A8" s="229" t="s">
        <v>69</v>
      </c>
      <c r="B8" s="230">
        <v>2015</v>
      </c>
      <c r="C8" s="230">
        <v>2016</v>
      </c>
      <c r="D8" s="230">
        <v>2017</v>
      </c>
      <c r="E8" s="230">
        <v>2018</v>
      </c>
      <c r="F8" s="230">
        <v>2019</v>
      </c>
      <c r="G8" s="230">
        <v>2020</v>
      </c>
      <c r="H8" s="230">
        <v>2021</v>
      </c>
      <c r="I8" s="616">
        <v>2022</v>
      </c>
      <c r="J8" s="230">
        <v>2023</v>
      </c>
      <c r="K8" s="616">
        <v>2024</v>
      </c>
      <c r="L8" s="230">
        <v>2025</v>
      </c>
      <c r="M8" s="616">
        <v>2026</v>
      </c>
      <c r="N8" s="230">
        <v>2027</v>
      </c>
      <c r="O8" s="616">
        <v>2028</v>
      </c>
    </row>
    <row r="9" spans="1:15" ht="18.75" customHeight="1">
      <c r="A9" s="615" t="s">
        <v>136</v>
      </c>
      <c r="B9" s="231"/>
      <c r="C9" s="232"/>
      <c r="D9" s="232"/>
      <c r="E9" s="232"/>
      <c r="F9" s="232"/>
      <c r="G9" s="232"/>
      <c r="H9" s="232"/>
      <c r="I9" s="232"/>
      <c r="J9" s="232"/>
      <c r="K9" s="232"/>
      <c r="L9" s="232"/>
      <c r="M9" s="232"/>
      <c r="N9" s="232"/>
      <c r="O9" s="233"/>
    </row>
    <row r="10" spans="1:15" ht="14.25" customHeight="1">
      <c r="A10" s="647" t="str">
        <f>Health!A10</f>
        <v>Scenario 1: Provide a 30% national government subsidy for PhilHealth premiums for the informal sector</v>
      </c>
      <c r="B10" s="235">
        <f>Health!B20</f>
        <v>0</v>
      </c>
      <c r="C10" s="236">
        <f>Health!C20</f>
        <v>0</v>
      </c>
      <c r="D10" s="236">
        <f>Health!D20</f>
        <v>7.110428350904736E-05</v>
      </c>
      <c r="E10" s="236">
        <f>Health!E20</f>
        <v>0.00012295061080643658</v>
      </c>
      <c r="F10" s="236">
        <f>Health!F20</f>
        <v>0.0001590473927033908</v>
      </c>
      <c r="G10" s="236">
        <f>Health!G20</f>
        <v>0.0001824094702125688</v>
      </c>
      <c r="H10" s="236">
        <f>Health!H20</f>
        <v>0.0001618318436329511</v>
      </c>
      <c r="I10" s="236">
        <f>Health!I20</f>
        <v>0.00014290490318784153</v>
      </c>
      <c r="J10" s="236">
        <f>Health!J20</f>
        <v>0.0001255161282229677</v>
      </c>
      <c r="K10" s="236">
        <f>Health!K20</f>
        <v>0.00010954674845650752</v>
      </c>
      <c r="L10" s="236">
        <f>Health!L20</f>
        <v>9.490536371680148E-05</v>
      </c>
      <c r="M10" s="236">
        <f>Health!M20</f>
        <v>8.153089257795362E-05</v>
      </c>
      <c r="N10" s="236">
        <f>Health!N20</f>
        <v>6.934499430135415E-05</v>
      </c>
      <c r="O10" s="1053">
        <f>Health!O20</f>
        <v>5.828252830002873E-05</v>
      </c>
    </row>
    <row r="11" spans="1:15" ht="14.25" customHeight="1">
      <c r="A11" s="238" t="str">
        <f>Health!A23</f>
        <v>Scenario 2: Provide a 50% national government subsidy for PhilHealth premiums for the informal sector</v>
      </c>
      <c r="B11" s="239">
        <f>Health!B33</f>
        <v>0</v>
      </c>
      <c r="C11" s="240">
        <f>Health!C33</f>
        <v>0</v>
      </c>
      <c r="D11" s="240">
        <f>Health!D33</f>
        <v>0.00010665642526357104</v>
      </c>
      <c r="E11" s="240">
        <f>Health!E33</f>
        <v>0.00018442591620965485</v>
      </c>
      <c r="F11" s="240">
        <f>Health!F33</f>
        <v>0.00023857108905508623</v>
      </c>
      <c r="G11" s="240">
        <f>Health!G33</f>
        <v>0.0002736142053188532</v>
      </c>
      <c r="H11" s="240">
        <f>Health!H33</f>
        <v>0.00024274776544942663</v>
      </c>
      <c r="I11" s="240">
        <f>Health!I33</f>
        <v>0.00021435735478176227</v>
      </c>
      <c r="J11" s="240">
        <f>Health!J33</f>
        <v>0.00018827419233445155</v>
      </c>
      <c r="K11" s="240">
        <f>Health!K33</f>
        <v>0.0001643201226847613</v>
      </c>
      <c r="L11" s="240">
        <f>Health!L33</f>
        <v>0.00014235804557520226</v>
      </c>
      <c r="M11" s="240">
        <f>Health!M33</f>
        <v>0.0001222963388669304</v>
      </c>
      <c r="N11" s="240">
        <f>Health!N33</f>
        <v>0.00010401749145203123</v>
      </c>
      <c r="O11" s="1054">
        <f>Health!O33</f>
        <v>8.742379245004309E-05</v>
      </c>
    </row>
    <row r="12" spans="1:15" ht="14.25" customHeight="1">
      <c r="A12" s="647" t="str">
        <f>Health!A36</f>
        <v>Scenario 3: Provide a 100% national government subsidy for PhilHealth premiums for the informal sector</v>
      </c>
      <c r="B12" s="235">
        <f>Health!B46</f>
        <v>0</v>
      </c>
      <c r="C12" s="236">
        <f>Health!C46</f>
        <v>0</v>
      </c>
      <c r="D12" s="236">
        <f>Health!D46</f>
        <v>0.00019553677964988023</v>
      </c>
      <c r="E12" s="236">
        <f>Health!E46</f>
        <v>0.00033811417971770056</v>
      </c>
      <c r="F12" s="236">
        <f>Health!F46</f>
        <v>0.00043738032993432467</v>
      </c>
      <c r="G12" s="236">
        <f>Health!G46</f>
        <v>0.0005016260430845643</v>
      </c>
      <c r="H12" s="236">
        <f>Health!H46</f>
        <v>0.0004450375699906155</v>
      </c>
      <c r="I12" s="236">
        <f>Health!I46</f>
        <v>0.0003929884837665642</v>
      </c>
      <c r="J12" s="236">
        <f>Health!J46</f>
        <v>0.0003451693526131612</v>
      </c>
      <c r="K12" s="236">
        <f>Health!K46</f>
        <v>0.00030125355825539566</v>
      </c>
      <c r="L12" s="236">
        <f>Health!L46</f>
        <v>0.0002609897502212041</v>
      </c>
      <c r="M12" s="236">
        <f>Health!M46</f>
        <v>0.00022420995458937243</v>
      </c>
      <c r="N12" s="236">
        <f>Health!N46</f>
        <v>0.0001906987343287239</v>
      </c>
      <c r="O12" s="1053">
        <f>Health!O46</f>
        <v>0.00016027695282507898</v>
      </c>
    </row>
    <row r="13" spans="1:15" ht="20.25" customHeight="1">
      <c r="A13" s="610" t="s">
        <v>137</v>
      </c>
      <c r="B13" s="242"/>
      <c r="C13" s="243"/>
      <c r="D13" s="243"/>
      <c r="E13" s="243"/>
      <c r="F13" s="243"/>
      <c r="G13" s="243"/>
      <c r="H13" s="243"/>
      <c r="I13" s="243"/>
      <c r="J13" s="243"/>
      <c r="K13" s="243"/>
      <c r="L13" s="243"/>
      <c r="M13" s="243"/>
      <c r="N13" s="243"/>
      <c r="O13" s="1055"/>
    </row>
    <row r="14" spans="1:33" ht="14.25" customHeight="1">
      <c r="A14" s="234" t="str">
        <f>Children!A11</f>
        <v>Scenario 1: Increase the benefit amounts provided under 4Ps (20% increase)</v>
      </c>
      <c r="B14" s="235">
        <f>Children!B54</f>
        <v>0</v>
      </c>
      <c r="C14" s="236">
        <f>Children!C54</f>
        <v>0</v>
      </c>
      <c r="D14" s="236">
        <f>Children!D54</f>
        <v>0.0008376951525112307</v>
      </c>
      <c r="E14" s="236">
        <f>Children!E54</f>
        <v>0.0008117861884639515</v>
      </c>
      <c r="F14" s="236">
        <f>Children!F54</f>
        <v>0.0007842996476276098</v>
      </c>
      <c r="G14" s="236">
        <f>Children!G54</f>
        <v>0.0007559603859131882</v>
      </c>
      <c r="H14" s="236">
        <f>Children!H54</f>
        <v>0.0007523754097992449</v>
      </c>
      <c r="I14" s="236">
        <f>Children!I54</f>
        <v>0.0007265327214224981</v>
      </c>
      <c r="J14" s="236">
        <f>Children!J54</f>
        <v>0.0006881640896621946</v>
      </c>
      <c r="K14" s="236">
        <f>Children!K54</f>
        <v>0.0006515712626100859</v>
      </c>
      <c r="L14" s="236">
        <f>Children!L54</f>
        <v>0.0006167187149637015</v>
      </c>
      <c r="M14" s="236">
        <f>Children!M54</f>
        <v>0.0005835046901699718</v>
      </c>
      <c r="N14" s="236">
        <f>Children!N54</f>
        <v>0.0005518702332193139</v>
      </c>
      <c r="O14" s="1053">
        <f>Children!O54</f>
        <v>0.0005217654777214397</v>
      </c>
      <c r="S14" s="894" t="s">
        <v>554</v>
      </c>
      <c r="T14" s="894">
        <v>2015</v>
      </c>
      <c r="U14" s="894">
        <v>2016</v>
      </c>
      <c r="V14" s="894">
        <v>2017</v>
      </c>
      <c r="W14" s="894">
        <v>2018</v>
      </c>
      <c r="X14" s="894">
        <v>2019</v>
      </c>
      <c r="Y14" s="894">
        <v>2020</v>
      </c>
      <c r="Z14" s="894">
        <v>2021</v>
      </c>
      <c r="AA14" s="894">
        <v>2022</v>
      </c>
      <c r="AB14" s="894">
        <v>2023</v>
      </c>
      <c r="AC14" s="894">
        <v>2024</v>
      </c>
      <c r="AD14" s="894">
        <v>2025</v>
      </c>
      <c r="AE14" s="894">
        <v>2026</v>
      </c>
      <c r="AF14" s="894">
        <v>2027</v>
      </c>
      <c r="AG14" s="894">
        <v>2028</v>
      </c>
    </row>
    <row r="15" spans="1:33" ht="14.25" customHeight="1">
      <c r="A15" s="238" t="str">
        <f>Children!A57</f>
        <v>Scenario 2: Increase the benefit amounts by 20% and adjust them to cumulative inflation every 5 years</v>
      </c>
      <c r="B15" s="239">
        <f>Children!B100</f>
        <v>0</v>
      </c>
      <c r="C15" s="240">
        <f>Children!C100</f>
        <v>0</v>
      </c>
      <c r="D15" s="240">
        <f>Children!D100</f>
        <v>0.0008376951525112307</v>
      </c>
      <c r="E15" s="240">
        <f>Children!E100</f>
        <v>0.0008117861884639515</v>
      </c>
      <c r="F15" s="240">
        <f>Children!F100</f>
        <v>0.0007842996476276098</v>
      </c>
      <c r="G15" s="240">
        <f>Children!G100</f>
        <v>0.0007559603859131882</v>
      </c>
      <c r="H15" s="240">
        <f>Children!H100</f>
        <v>0.0007523754097992449</v>
      </c>
      <c r="I15" s="240">
        <f>Children!I100</f>
        <v>0.0014947493113720612</v>
      </c>
      <c r="J15" s="240">
        <f>Children!J100</f>
        <v>0.0014158106975822903</v>
      </c>
      <c r="K15" s="240">
        <f>Children!K100</f>
        <v>0.0013405255776909198</v>
      </c>
      <c r="L15" s="240">
        <f>Children!L100</f>
        <v>0.0012688208628750543</v>
      </c>
      <c r="M15" s="240">
        <f>Children!M100</f>
        <v>0.0012004872018788672</v>
      </c>
      <c r="N15" s="240">
        <f>Children!N100</f>
        <v>0.001799743086462655</v>
      </c>
      <c r="O15" s="1054">
        <f>Children!O100</f>
        <v>0.001701566337082849</v>
      </c>
      <c r="S15" s="895" t="s">
        <v>557</v>
      </c>
      <c r="T15" s="896">
        <f>B10</f>
        <v>0</v>
      </c>
      <c r="U15" s="896">
        <f aca="true" t="shared" si="0" ref="U15:AA15">C10</f>
        <v>0</v>
      </c>
      <c r="V15" s="896">
        <f t="shared" si="0"/>
        <v>7.110428350904736E-05</v>
      </c>
      <c r="W15" s="896">
        <f t="shared" si="0"/>
        <v>0.00012295061080643658</v>
      </c>
      <c r="X15" s="896">
        <f t="shared" si="0"/>
        <v>0.0001590473927033908</v>
      </c>
      <c r="Y15" s="896">
        <f t="shared" si="0"/>
        <v>0.0001824094702125688</v>
      </c>
      <c r="Z15" s="896">
        <f t="shared" si="0"/>
        <v>0.0001618318436329511</v>
      </c>
      <c r="AA15" s="896">
        <f t="shared" si="0"/>
        <v>0.00014290490318784153</v>
      </c>
      <c r="AB15" s="896">
        <f aca="true" t="shared" si="1" ref="AB15">J10</f>
        <v>0.0001255161282229677</v>
      </c>
      <c r="AC15" s="896">
        <f aca="true" t="shared" si="2" ref="AC15">K10</f>
        <v>0.00010954674845650752</v>
      </c>
      <c r="AD15" s="896">
        <f aca="true" t="shared" si="3" ref="AD15">L10</f>
        <v>9.490536371680148E-05</v>
      </c>
      <c r="AE15" s="896">
        <f aca="true" t="shared" si="4" ref="AE15">M10</f>
        <v>8.153089257795362E-05</v>
      </c>
      <c r="AF15" s="896">
        <f aca="true" t="shared" si="5" ref="AF15">N10</f>
        <v>6.934499430135415E-05</v>
      </c>
      <c r="AG15" s="896">
        <f aca="true" t="shared" si="6" ref="AG15">O10</f>
        <v>5.828252830002873E-05</v>
      </c>
    </row>
    <row r="16" spans="1:33" ht="14.25" customHeight="1">
      <c r="A16" s="234" t="str">
        <f>Working!A61</f>
        <v>Scenario 3: Introduce an employment insurance scheme wherein the national government subsidizes 50% of the contributions</v>
      </c>
      <c r="B16" s="235">
        <f>Children!B167</f>
        <v>0</v>
      </c>
      <c r="C16" s="236">
        <f>Children!C167</f>
        <v>0</v>
      </c>
      <c r="D16" s="236">
        <f>Children!D167</f>
        <v>0.0013011385218005488</v>
      </c>
      <c r="E16" s="236">
        <f>Children!E167</f>
        <v>0.001260605916042144</v>
      </c>
      <c r="F16" s="236">
        <f>Children!F167</f>
        <v>0.001217642097083646</v>
      </c>
      <c r="G16" s="236">
        <f>Children!G167</f>
        <v>0.0011733739351115831</v>
      </c>
      <c r="H16" s="236">
        <f>Children!H167</f>
        <v>0.0011675428971949988</v>
      </c>
      <c r="I16" s="236">
        <f>Children!I167</f>
        <v>0.0011271817043207635</v>
      </c>
      <c r="J16" s="236">
        <f>Children!J167</f>
        <v>0.0010674090047266445</v>
      </c>
      <c r="K16" s="236">
        <f>Children!K167</f>
        <v>0.0010104166278638448</v>
      </c>
      <c r="L16" s="236">
        <f>Children!L167</f>
        <v>0.0009561477313063271</v>
      </c>
      <c r="M16" s="236">
        <f>Children!M167</f>
        <v>0.0009044428507189402</v>
      </c>
      <c r="N16" s="236">
        <f>Children!N167</f>
        <v>0.0008552089835086399</v>
      </c>
      <c r="O16" s="1053">
        <f>Children!O167</f>
        <v>0.000808367281137145</v>
      </c>
      <c r="S16" s="895" t="s">
        <v>142</v>
      </c>
      <c r="T16" s="896">
        <f>B17</f>
        <v>0</v>
      </c>
      <c r="U16" s="896">
        <f aca="true" t="shared" si="7" ref="U16:AA18">C17</f>
        <v>0</v>
      </c>
      <c r="V16" s="896">
        <f t="shared" si="7"/>
        <v>0.0013011385218005488</v>
      </c>
      <c r="W16" s="896">
        <f t="shared" si="7"/>
        <v>0.001260605916042144</v>
      </c>
      <c r="X16" s="896">
        <f t="shared" si="7"/>
        <v>0.001217642097083646</v>
      </c>
      <c r="Y16" s="896">
        <f t="shared" si="7"/>
        <v>0.0011733739351115831</v>
      </c>
      <c r="Z16" s="896">
        <f t="shared" si="7"/>
        <v>0.0011675428971949988</v>
      </c>
      <c r="AA16" s="896">
        <f t="shared" si="7"/>
        <v>0.0019908656219885207</v>
      </c>
      <c r="AB16" s="896">
        <f aca="true" t="shared" si="8" ref="AB16:AB18">J17</f>
        <v>0.0018854379795717965</v>
      </c>
      <c r="AC16" s="896">
        <f aca="true" t="shared" si="9" ref="AC16:AC18">K17</f>
        <v>0.0017849061408730957</v>
      </c>
      <c r="AD16" s="896">
        <f aca="true" t="shared" si="10" ref="AD16:AD18">L17</f>
        <v>0.0016891707276037533</v>
      </c>
      <c r="AE16" s="896">
        <f aca="true" t="shared" si="11" ref="AE16:AE18">M17</f>
        <v>0.0015979510289148278</v>
      </c>
      <c r="AF16" s="896">
        <f aca="true" t="shared" si="12" ref="AF16:AF18">N17</f>
        <v>0.0022577828586078036</v>
      </c>
      <c r="AG16" s="896">
        <f aca="true" t="shared" si="13" ref="AG16:AG18">O17</f>
        <v>0.0021343586692984954</v>
      </c>
    </row>
    <row r="17" spans="1:33" ht="14.25" customHeight="1">
      <c r="A17" s="238" t="str">
        <f>Children!A170</f>
        <v>Scenario 4: Increase the benefit amounts by 20%, adjusted to cumulative inflation every 5 years, and provide the 4Ps education benefit to all qualifying children</v>
      </c>
      <c r="B17" s="239">
        <f>Children!B234</f>
        <v>0</v>
      </c>
      <c r="C17" s="240">
        <f>Children!C234</f>
        <v>0</v>
      </c>
      <c r="D17" s="240">
        <f>Children!D234</f>
        <v>0.0013011385218005488</v>
      </c>
      <c r="E17" s="240">
        <f>Children!E234</f>
        <v>0.001260605916042144</v>
      </c>
      <c r="F17" s="240">
        <f>Children!F234</f>
        <v>0.001217642097083646</v>
      </c>
      <c r="G17" s="240">
        <f>Children!G234</f>
        <v>0.0011733739351115831</v>
      </c>
      <c r="H17" s="240">
        <f>Children!H234</f>
        <v>0.0011675428971949988</v>
      </c>
      <c r="I17" s="240">
        <f>Children!I234</f>
        <v>0.0019908656219885207</v>
      </c>
      <c r="J17" s="240">
        <f>Children!J234</f>
        <v>0.0018854379795717965</v>
      </c>
      <c r="K17" s="240">
        <f>Children!K234</f>
        <v>0.0017849061408730957</v>
      </c>
      <c r="L17" s="240">
        <f>Children!L234</f>
        <v>0.0016891707276037533</v>
      </c>
      <c r="M17" s="240">
        <f>Children!M234</f>
        <v>0.0015979510289148278</v>
      </c>
      <c r="N17" s="240">
        <f>Children!N234</f>
        <v>0.0022577828586078036</v>
      </c>
      <c r="O17" s="1054">
        <f>Children!O234</f>
        <v>0.0021343586692984954</v>
      </c>
      <c r="S17" s="895" t="s">
        <v>560</v>
      </c>
      <c r="T17" s="896">
        <f>B18</f>
        <v>0</v>
      </c>
      <c r="U17" s="896">
        <f t="shared" si="7"/>
        <v>0</v>
      </c>
      <c r="V17" s="896">
        <f t="shared" si="7"/>
        <v>4.413400870473191E-05</v>
      </c>
      <c r="W17" s="896">
        <f t="shared" si="7"/>
        <v>4.030101043947019E-05</v>
      </c>
      <c r="X17" s="896">
        <f t="shared" si="7"/>
        <v>3.654807144486078E-05</v>
      </c>
      <c r="Y17" s="896">
        <f t="shared" si="7"/>
        <v>3.292119697151282E-05</v>
      </c>
      <c r="Z17" s="896">
        <f t="shared" si="7"/>
        <v>3.0331526548531317E-05</v>
      </c>
      <c r="AA17" s="896">
        <f t="shared" si="7"/>
        <v>3.1782567048450514E-05</v>
      </c>
      <c r="AB17" s="896">
        <f t="shared" si="8"/>
        <v>2.7582040339074615E-05</v>
      </c>
      <c r="AC17" s="896">
        <f t="shared" si="9"/>
        <v>2.3732918296619307E-05</v>
      </c>
      <c r="AD17" s="896">
        <f t="shared" si="10"/>
        <v>2.021363172585228E-05</v>
      </c>
      <c r="AE17" s="896">
        <f t="shared" si="11"/>
        <v>1.7001288538772E-05</v>
      </c>
      <c r="AF17" s="896">
        <f t="shared" si="12"/>
        <v>1.6476580127274913E-05</v>
      </c>
      <c r="AG17" s="896">
        <f t="shared" si="13"/>
        <v>1.3365168958852861E-05</v>
      </c>
    </row>
    <row r="18" spans="1:33" ht="14.25" customHeight="1">
      <c r="A18" s="234" t="str">
        <f>Children!A237</f>
        <v>Scenario 5: Provide food or cereal vouchers to 7-24 months old children under 4Ps, amounting to PHP 390 (PHP13*30 days), adjusted to cumulative inflation every five years</v>
      </c>
      <c r="B18" s="235">
        <f>Children!B250</f>
        <v>0</v>
      </c>
      <c r="C18" s="236">
        <f>Children!C250</f>
        <v>0</v>
      </c>
      <c r="D18" s="236">
        <f>Children!D250</f>
        <v>4.413400870473191E-05</v>
      </c>
      <c r="E18" s="236">
        <f>Children!E250</f>
        <v>4.030101043947019E-05</v>
      </c>
      <c r="F18" s="236">
        <f>Children!F250</f>
        <v>3.654807144486078E-05</v>
      </c>
      <c r="G18" s="236">
        <f>Children!G250</f>
        <v>3.292119697151282E-05</v>
      </c>
      <c r="H18" s="236">
        <f>Children!H250</f>
        <v>3.0331526548531317E-05</v>
      </c>
      <c r="I18" s="236">
        <f>Children!I250</f>
        <v>3.1782567048450514E-05</v>
      </c>
      <c r="J18" s="236">
        <f>Children!J250</f>
        <v>2.7582040339074615E-05</v>
      </c>
      <c r="K18" s="236">
        <f>Children!K250</f>
        <v>2.3732918296619307E-05</v>
      </c>
      <c r="L18" s="236">
        <f>Children!L250</f>
        <v>2.021363172585228E-05</v>
      </c>
      <c r="M18" s="236">
        <f>Children!M250</f>
        <v>1.7001288538772E-05</v>
      </c>
      <c r="N18" s="236">
        <f>Children!N250</f>
        <v>1.6476580127274913E-05</v>
      </c>
      <c r="O18" s="1053">
        <f>Children!O250</f>
        <v>1.3365168958852861E-05</v>
      </c>
      <c r="S18" s="895" t="s">
        <v>563</v>
      </c>
      <c r="T18" s="896">
        <f>B19</f>
        <v>0</v>
      </c>
      <c r="U18" s="896">
        <f t="shared" si="7"/>
        <v>0</v>
      </c>
      <c r="V18" s="896">
        <f t="shared" si="7"/>
        <v>0.0008985108801672057</v>
      </c>
      <c r="W18" s="896">
        <f t="shared" si="7"/>
        <v>0.001730119459853728</v>
      </c>
      <c r="X18" s="896">
        <f t="shared" si="7"/>
        <v>0.0025219569009021776</v>
      </c>
      <c r="Y18" s="896">
        <f t="shared" si="7"/>
        <v>0.0032488648585214355</v>
      </c>
      <c r="Z18" s="896">
        <f t="shared" si="7"/>
        <v>0.0032503925892363806</v>
      </c>
      <c r="AA18" s="896">
        <f t="shared" si="7"/>
        <v>0.003251346382599583</v>
      </c>
      <c r="AB18" s="896">
        <f t="shared" si="8"/>
        <v>0.0032513261704449153</v>
      </c>
      <c r="AC18" s="896">
        <f t="shared" si="9"/>
        <v>0.0032492131451694766</v>
      </c>
      <c r="AD18" s="896">
        <f t="shared" si="10"/>
        <v>0.0032445702814612306</v>
      </c>
      <c r="AE18" s="896">
        <f t="shared" si="11"/>
        <v>0.003238695934123459</v>
      </c>
      <c r="AF18" s="896">
        <f t="shared" si="12"/>
        <v>0.0032306463093844055</v>
      </c>
      <c r="AG18" s="896">
        <f t="shared" si="13"/>
        <v>0.0032200029396179087</v>
      </c>
    </row>
    <row r="19" spans="1:33" ht="14.25" customHeight="1">
      <c r="A19" s="238" t="str">
        <f>Children!A254</f>
        <v>Scenario 6: Provide a meal to all children in public schools (K to grade 6) under SFP, for the whole school year (200 days)</v>
      </c>
      <c r="B19" s="239">
        <f>Children!B277</f>
        <v>0</v>
      </c>
      <c r="C19" s="240">
        <f>Children!C277</f>
        <v>0</v>
      </c>
      <c r="D19" s="240">
        <f>Children!D277</f>
        <v>0.0008985108801672057</v>
      </c>
      <c r="E19" s="240">
        <f>Children!E277</f>
        <v>0.001730119459853728</v>
      </c>
      <c r="F19" s="240">
        <f>Children!F277</f>
        <v>0.0025219569009021776</v>
      </c>
      <c r="G19" s="240">
        <f>Children!G277</f>
        <v>0.0032488648585214355</v>
      </c>
      <c r="H19" s="240">
        <f>Children!H277</f>
        <v>0.0032503925892363806</v>
      </c>
      <c r="I19" s="240">
        <f>Children!I277</f>
        <v>0.003251346382599583</v>
      </c>
      <c r="J19" s="240">
        <f>Children!J277</f>
        <v>0.0032513261704449153</v>
      </c>
      <c r="K19" s="240">
        <f>Children!K277</f>
        <v>0.0032492131451694766</v>
      </c>
      <c r="L19" s="240">
        <f>Children!L277</f>
        <v>0.0032445702814612306</v>
      </c>
      <c r="M19" s="240">
        <f>Children!M277</f>
        <v>0.003238695934123459</v>
      </c>
      <c r="N19" s="240">
        <f>Children!N277</f>
        <v>0.0032306463093844055</v>
      </c>
      <c r="O19" s="1054">
        <f>Children!O277</f>
        <v>0.0032200029396179087</v>
      </c>
      <c r="S19" s="895" t="s">
        <v>555</v>
      </c>
      <c r="T19" s="896">
        <f>B21</f>
        <v>0</v>
      </c>
      <c r="U19" s="896">
        <f aca="true" t="shared" si="14" ref="U19:AA19">C21</f>
        <v>0</v>
      </c>
      <c r="V19" s="896">
        <f t="shared" si="14"/>
        <v>8.158742328058733E-05</v>
      </c>
      <c r="W19" s="896">
        <f t="shared" si="14"/>
        <v>0.0002015380178648315</v>
      </c>
      <c r="X19" s="896">
        <f t="shared" si="14"/>
        <v>0.0003014287482860263</v>
      </c>
      <c r="Y19" s="896">
        <f t="shared" si="14"/>
        <v>0.0003984632757433337</v>
      </c>
      <c r="Z19" s="896">
        <f t="shared" si="14"/>
        <v>0.00040910568782751553</v>
      </c>
      <c r="AA19" s="896">
        <f t="shared" si="14"/>
        <v>0.0004199158837908164</v>
      </c>
      <c r="AB19" s="896">
        <f aca="true" t="shared" si="15" ref="AB19">J21</f>
        <v>0.0004309497399684912</v>
      </c>
      <c r="AC19" s="896">
        <f aca="true" t="shared" si="16" ref="AC19">K21</f>
        <v>0.0004422631231219809</v>
      </c>
      <c r="AD19" s="896">
        <f aca="true" t="shared" si="17" ref="AD19">L21</f>
        <v>0.0004539496664600578</v>
      </c>
      <c r="AE19" s="896">
        <f aca="true" t="shared" si="18" ref="AE19">M21</f>
        <v>0.00046595426900502776</v>
      </c>
      <c r="AF19" s="896">
        <f aca="true" t="shared" si="19" ref="AF19">N21</f>
        <v>0.0004783281760188993</v>
      </c>
      <c r="AG19" s="896">
        <f aca="true" t="shared" si="20" ref="AG19">O21</f>
        <v>0.0004910753344051855</v>
      </c>
    </row>
    <row r="20" spans="1:33" s="614" customFormat="1" ht="18" customHeight="1">
      <c r="A20" s="610" t="s">
        <v>138</v>
      </c>
      <c r="B20" s="611"/>
      <c r="C20" s="612"/>
      <c r="D20" s="612"/>
      <c r="E20" s="612"/>
      <c r="F20" s="612"/>
      <c r="G20" s="612"/>
      <c r="H20" s="612"/>
      <c r="I20" s="612"/>
      <c r="J20" s="612"/>
      <c r="K20" s="612"/>
      <c r="L20" s="612"/>
      <c r="M20" s="612"/>
      <c r="N20" s="612"/>
      <c r="O20" s="1056"/>
      <c r="S20" s="895" t="s">
        <v>556</v>
      </c>
      <c r="T20" s="897">
        <f>B23</f>
        <v>0</v>
      </c>
      <c r="U20" s="897">
        <f aca="true" t="shared" si="21" ref="U20:AA20">C23</f>
        <v>0</v>
      </c>
      <c r="V20" s="897">
        <f t="shared" si="21"/>
        <v>0.00012984688146924116</v>
      </c>
      <c r="W20" s="897">
        <f t="shared" si="21"/>
        <v>0.00023460264582728747</v>
      </c>
      <c r="X20" s="897">
        <f t="shared" si="21"/>
        <v>0.00031710206790263814</v>
      </c>
      <c r="Y20" s="897">
        <f t="shared" si="21"/>
        <v>0.0003800091320618026</v>
      </c>
      <c r="Z20" s="897">
        <f t="shared" si="21"/>
        <v>0.00035228047063428383</v>
      </c>
      <c r="AA20" s="897">
        <f t="shared" si="21"/>
        <v>0.0003250524412445361</v>
      </c>
      <c r="AB20" s="897">
        <f aca="true" t="shared" si="22" ref="AB20">J23</f>
        <v>0.0002983261414705644</v>
      </c>
      <c r="AC20" s="897">
        <f aca="true" t="shared" si="23" ref="AC20">K23</f>
        <v>0.0002720698893820816</v>
      </c>
      <c r="AD20" s="897">
        <f aca="true" t="shared" si="24" ref="AD20">L23</f>
        <v>0.0002463001482987678</v>
      </c>
      <c r="AE20" s="897">
        <f aca="true" t="shared" si="25" ref="AE20">M23</f>
        <v>0.00022110203132145572</v>
      </c>
      <c r="AF20" s="897">
        <f aca="true" t="shared" si="26" ref="AF20">N23</f>
        <v>0.00019651058329728054</v>
      </c>
      <c r="AG20" s="897">
        <f aca="true" t="shared" si="27" ref="AG20">O23</f>
        <v>0.00017258901660496855</v>
      </c>
    </row>
    <row r="21" spans="1:33" ht="14.25" customHeight="1">
      <c r="A21" s="234" t="str">
        <f>Working!A11</f>
        <v>Scenario 1: Introduce an employment insurance scheme wherein the national government subsidizes 30% of the contributions</v>
      </c>
      <c r="B21" s="235">
        <f>Working!B33</f>
        <v>0</v>
      </c>
      <c r="C21" s="236">
        <f>Working!C33</f>
        <v>0</v>
      </c>
      <c r="D21" s="236">
        <f>Working!D33</f>
        <v>8.158742328058733E-05</v>
      </c>
      <c r="E21" s="236">
        <f>Working!E33</f>
        <v>0.0002015380178648315</v>
      </c>
      <c r="F21" s="236">
        <f>Working!F33</f>
        <v>0.0003014287482860263</v>
      </c>
      <c r="G21" s="236">
        <f>Working!G33</f>
        <v>0.0003984632757433337</v>
      </c>
      <c r="H21" s="236">
        <f>Working!H33</f>
        <v>0.00040910568782751553</v>
      </c>
      <c r="I21" s="236">
        <f>Working!I33</f>
        <v>0.0004199158837908164</v>
      </c>
      <c r="J21" s="236">
        <f>Working!J33</f>
        <v>0.0004309497399684912</v>
      </c>
      <c r="K21" s="236">
        <f>Working!K33</f>
        <v>0.0004422631231219809</v>
      </c>
      <c r="L21" s="236">
        <f>Working!L33</f>
        <v>0.0004539496664600578</v>
      </c>
      <c r="M21" s="236">
        <f>Working!M33</f>
        <v>0.00046595426900502776</v>
      </c>
      <c r="N21" s="236">
        <f>Working!N33</f>
        <v>0.0004783281760188993</v>
      </c>
      <c r="O21" s="1053">
        <f>Working!O33</f>
        <v>0.0004910753344051855</v>
      </c>
      <c r="S21" s="895" t="s">
        <v>558</v>
      </c>
      <c r="T21" s="896">
        <f>B27</f>
        <v>0</v>
      </c>
      <c r="U21" s="896">
        <f aca="true" t="shared" si="28" ref="U21:AA21">C27</f>
        <v>0</v>
      </c>
      <c r="V21" s="896">
        <f t="shared" si="28"/>
        <v>0</v>
      </c>
      <c r="W21" s="896">
        <f t="shared" si="28"/>
        <v>0</v>
      </c>
      <c r="X21" s="896">
        <f t="shared" si="28"/>
        <v>0</v>
      </c>
      <c r="Y21" s="896">
        <f t="shared" si="28"/>
        <v>0</v>
      </c>
      <c r="Z21" s="896">
        <f t="shared" si="28"/>
        <v>0</v>
      </c>
      <c r="AA21" s="896">
        <f t="shared" si="28"/>
        <v>0</v>
      </c>
      <c r="AB21" s="896">
        <f aca="true" t="shared" si="29" ref="AB21">J27</f>
        <v>0.0013968367052339162</v>
      </c>
      <c r="AC21" s="896">
        <f aca="true" t="shared" si="30" ref="AC21">K27</f>
        <v>0.002850324942068207</v>
      </c>
      <c r="AD21" s="896">
        <f aca="true" t="shared" si="31" ref="AD21">L27</f>
        <v>0.00436206122921072</v>
      </c>
      <c r="AE21" s="896">
        <f aca="true" t="shared" si="32" ref="AE21">M27</f>
        <v>0.005933681785598068</v>
      </c>
      <c r="AF21" s="896">
        <f aca="true" t="shared" si="33" ref="AF21">N27</f>
        <v>0.0060534462829345045</v>
      </c>
      <c r="AG21" s="896">
        <f aca="true" t="shared" si="34" ref="AG21">O27</f>
        <v>0.006175399260410038</v>
      </c>
    </row>
    <row r="22" spans="1:33" ht="14.25" customHeight="1">
      <c r="A22" s="238" t="str">
        <f>Working!A61</f>
        <v>Scenario 3: Introduce an employment insurance scheme wherein the national government subsidizes 50% of the contributions</v>
      </c>
      <c r="B22" s="239">
        <f>Working!B83</f>
        <v>0</v>
      </c>
      <c r="C22" s="240">
        <f>Working!C83</f>
        <v>0</v>
      </c>
      <c r="D22" s="240">
        <f>Working!D83</f>
        <v>0.0004079371164029365</v>
      </c>
      <c r="E22" s="240">
        <f>Working!E83</f>
        <v>0.0008061520714593261</v>
      </c>
      <c r="F22" s="240">
        <f>Working!F83</f>
        <v>0.0012057149931441052</v>
      </c>
      <c r="G22" s="240">
        <f>Working!G83</f>
        <v>0.0015938531029733353</v>
      </c>
      <c r="H22" s="240">
        <f>Working!H83</f>
        <v>0.001636422751310062</v>
      </c>
      <c r="I22" s="240">
        <f>Working!I83</f>
        <v>0.0016796635351632651</v>
      </c>
      <c r="J22" s="240">
        <f>Working!J83</f>
        <v>0.0017237989598739647</v>
      </c>
      <c r="K22" s="240">
        <f>Working!K83</f>
        <v>0.0017690524924879236</v>
      </c>
      <c r="L22" s="240">
        <f>Working!L83</f>
        <v>0.001815798665840231</v>
      </c>
      <c r="M22" s="240">
        <f>Working!M83</f>
        <v>0.001863817076020111</v>
      </c>
      <c r="N22" s="240">
        <f>Working!N83</f>
        <v>0.0019133127040755974</v>
      </c>
      <c r="O22" s="1054">
        <f>Working!O83</f>
        <v>0.0019643013376207425</v>
      </c>
      <c r="S22" s="895" t="s">
        <v>559</v>
      </c>
      <c r="T22" s="896">
        <f>B25</f>
        <v>0</v>
      </c>
      <c r="U22" s="896">
        <f aca="true" t="shared" si="35" ref="U22:AA22">C25</f>
        <v>0</v>
      </c>
      <c r="V22" s="896">
        <f t="shared" si="35"/>
        <v>3.0773115147945566E-05</v>
      </c>
      <c r="W22" s="896">
        <f t="shared" si="35"/>
        <v>5.648019502004712E-05</v>
      </c>
      <c r="X22" s="896">
        <f t="shared" si="35"/>
        <v>7.779170096506785E-05</v>
      </c>
      <c r="Y22" s="896">
        <f t="shared" si="35"/>
        <v>9.53224450462005E-05</v>
      </c>
      <c r="Z22" s="896">
        <f t="shared" si="35"/>
        <v>9.071286260983687E-05</v>
      </c>
      <c r="AA22" s="896">
        <f t="shared" si="35"/>
        <v>0.0001015035842847777</v>
      </c>
      <c r="AB22" s="896">
        <f aca="true" t="shared" si="36" ref="AB22">J25</f>
        <v>9.653752358634781E-05</v>
      </c>
      <c r="AC22" s="896">
        <f aca="true" t="shared" si="37" ref="AC22">K25</f>
        <v>9.179108627106579E-05</v>
      </c>
      <c r="AD22" s="896">
        <f aca="true" t="shared" si="38" ref="AD22">L25</f>
        <v>8.726457750775396E-05</v>
      </c>
      <c r="AE22" s="896">
        <f aca="true" t="shared" si="39" ref="AE22">M25</f>
        <v>8.291836728906449E-05</v>
      </c>
      <c r="AF22" s="896">
        <f aca="true" t="shared" si="40" ref="AF22">N25</f>
        <v>9.220223473478556E-05</v>
      </c>
      <c r="AG22" s="896">
        <f aca="true" t="shared" si="41" ref="AG22">O25</f>
        <v>8.756790610184073E-05</v>
      </c>
    </row>
    <row r="23" spans="1:33" ht="14.25" customHeight="1">
      <c r="A23" s="739" t="str">
        <f>Working!A87</f>
        <v>Scenario 4: Provide a 30% national government subsidy for SSS premiums for the informal sector</v>
      </c>
      <c r="B23" s="235">
        <f>Working!B98</f>
        <v>0</v>
      </c>
      <c r="C23" s="236">
        <f>Working!C98</f>
        <v>0</v>
      </c>
      <c r="D23" s="236">
        <f>Working!D98</f>
        <v>0.00012984688146924116</v>
      </c>
      <c r="E23" s="236">
        <f>Working!E98</f>
        <v>0.00023460264582728747</v>
      </c>
      <c r="F23" s="236">
        <f>Working!F98</f>
        <v>0.00031710206790263814</v>
      </c>
      <c r="G23" s="236">
        <f>Working!G98</f>
        <v>0.0003800091320618026</v>
      </c>
      <c r="H23" s="236">
        <f>Working!H98</f>
        <v>0.00035228047063428383</v>
      </c>
      <c r="I23" s="236">
        <f>Working!I98</f>
        <v>0.0003250524412445361</v>
      </c>
      <c r="J23" s="236">
        <f>Working!J98</f>
        <v>0.0002983261414705644</v>
      </c>
      <c r="K23" s="236">
        <f>Working!K98</f>
        <v>0.0002720698893820816</v>
      </c>
      <c r="L23" s="236">
        <f>Working!L98</f>
        <v>0.0002463001482987678</v>
      </c>
      <c r="M23" s="236">
        <f>Working!M98</f>
        <v>0.00022110203132145572</v>
      </c>
      <c r="N23" s="236">
        <f>Working!N98</f>
        <v>0.00019651058329728054</v>
      </c>
      <c r="O23" s="1053">
        <f>Working!O98</f>
        <v>0.00017258901660496855</v>
      </c>
      <c r="S23" s="895" t="s">
        <v>561</v>
      </c>
      <c r="T23" s="896">
        <f>B34</f>
        <v>0</v>
      </c>
      <c r="U23" s="896">
        <f aca="true" t="shared" si="42" ref="U23:AA23">C34</f>
        <v>0</v>
      </c>
      <c r="V23" s="896">
        <f t="shared" si="42"/>
        <v>0.0004773877009886582</v>
      </c>
      <c r="W23" s="896">
        <f t="shared" si="42"/>
        <v>0.000447483387570509</v>
      </c>
      <c r="X23" s="896">
        <f t="shared" si="42"/>
        <v>0.0004196290289952504</v>
      </c>
      <c r="Y23" s="896">
        <f t="shared" si="42"/>
        <v>0.0003937560680484178</v>
      </c>
      <c r="Z23" s="896">
        <f t="shared" si="42"/>
        <v>0.0003825408221632397</v>
      </c>
      <c r="AA23" s="896">
        <f t="shared" si="42"/>
        <v>0.0005019955543440779</v>
      </c>
      <c r="AB23" s="896">
        <f aca="true" t="shared" si="43" ref="AB23">J34</f>
        <v>0.00048683833786429743</v>
      </c>
      <c r="AC23" s="896">
        <f aca="true" t="shared" si="44" ref="AC23">K34</f>
        <v>0.0004718130142244333</v>
      </c>
      <c r="AD23" s="896">
        <f aca="true" t="shared" si="45" ref="AD23">L34</f>
        <v>0.00045724303656568215</v>
      </c>
      <c r="AE23" s="896">
        <f aca="true" t="shared" si="46" ref="AE23">M34</f>
        <v>0.0004431317043438986</v>
      </c>
      <c r="AF23" s="896">
        <f aca="true" t="shared" si="47" ref="AF23">N34</f>
        <v>0.0005563190132152689</v>
      </c>
      <c r="AG23" s="896">
        <f aca="true" t="shared" si="48" ref="AG23">O34</f>
        <v>0.0005381949190492759</v>
      </c>
    </row>
    <row r="24" spans="1:33" ht="14.25" customHeight="1">
      <c r="A24" s="738" t="str">
        <f>Working!A101</f>
        <v>Scenario 5: Provide a 50% national government subsidy for SSS premiums for the informal sector</v>
      </c>
      <c r="B24" s="239">
        <f>Working!B112</f>
        <v>0</v>
      </c>
      <c r="C24" s="240">
        <f>Working!C112</f>
        <v>0</v>
      </c>
      <c r="D24" s="240">
        <f>Working!D112</f>
        <v>0.00021641146911540197</v>
      </c>
      <c r="E24" s="240">
        <f>Working!E112</f>
        <v>0.00039100440971214586</v>
      </c>
      <c r="F24" s="240">
        <f>Working!F112</f>
        <v>0.0005285034465043969</v>
      </c>
      <c r="G24" s="240">
        <f>Working!G112</f>
        <v>0.0006333485534363375</v>
      </c>
      <c r="H24" s="240">
        <f>Working!H112</f>
        <v>0.0005871341177238064</v>
      </c>
      <c r="I24" s="240">
        <f>Working!I112</f>
        <v>0.0005417540687408935</v>
      </c>
      <c r="J24" s="240">
        <f>Working!J112</f>
        <v>0.000497210235784274</v>
      </c>
      <c r="K24" s="240">
        <f>Working!K112</f>
        <v>0.0004534498156368026</v>
      </c>
      <c r="L24" s="240">
        <f>Working!L112</f>
        <v>0.00041050024716461305</v>
      </c>
      <c r="M24" s="240">
        <f>Working!M112</f>
        <v>0.00036850338553575957</v>
      </c>
      <c r="N24" s="240">
        <f>Working!N112</f>
        <v>0.0003275176388288009</v>
      </c>
      <c r="O24" s="1054">
        <f>Working!O112</f>
        <v>0.00028764836100828093</v>
      </c>
      <c r="S24" s="895" t="s">
        <v>562</v>
      </c>
      <c r="T24" s="896">
        <f>B44</f>
        <v>0</v>
      </c>
      <c r="U24" s="896">
        <f aca="true" t="shared" si="49" ref="U24:AA24">C44</f>
        <v>0</v>
      </c>
      <c r="V24" s="896">
        <f t="shared" si="49"/>
        <v>0.0003350216703059237</v>
      </c>
      <c r="W24" s="896">
        <f t="shared" si="49"/>
        <v>0.0006180668420040341</v>
      </c>
      <c r="X24" s="896">
        <f t="shared" si="49"/>
        <v>0.000855807916269959</v>
      </c>
      <c r="Y24" s="896">
        <f t="shared" si="49"/>
        <v>0.0010543530614886619</v>
      </c>
      <c r="Z24" s="896">
        <f t="shared" si="49"/>
        <v>0.0010089090419652367</v>
      </c>
      <c r="AA24" s="896">
        <f t="shared" si="49"/>
        <v>0.001135302691009975</v>
      </c>
      <c r="AB24" s="896">
        <f aca="true" t="shared" si="50" ref="AB24">J44</f>
        <v>0.0010859242361426814</v>
      </c>
      <c r="AC24" s="896">
        <f aca="true" t="shared" si="51" ref="AC24">K44</f>
        <v>0.0010383805325672514</v>
      </c>
      <c r="AD24" s="896">
        <f aca="true" t="shared" si="52" ref="AD24">L44</f>
        <v>0.0009926714777971678</v>
      </c>
      <c r="AE24" s="896">
        <f aca="true" t="shared" si="53" ref="AE24">M44</f>
        <v>0.0009486891377163672</v>
      </c>
      <c r="AF24" s="896">
        <f aca="true" t="shared" si="54" ref="AF24">N44</f>
        <v>0.0010609971811005473</v>
      </c>
      <c r="AG24" s="896">
        <f aca="true" t="shared" si="55" ref="AG24">O44</f>
        <v>0.0010134224677083028</v>
      </c>
    </row>
    <row r="25" spans="1:15" ht="14.25" customHeight="1">
      <c r="A25" s="807" t="str">
        <f>Working!A116</f>
        <v>Scenario 6: Provide a daily allowance at PHP200, indexed on cumulative inflation every 5 years, to low-income people enrolled in TESDA training courses</v>
      </c>
      <c r="B25" s="235">
        <f>Working!B127</f>
        <v>0</v>
      </c>
      <c r="C25" s="236">
        <f>Working!C127</f>
        <v>0</v>
      </c>
      <c r="D25" s="236">
        <f>Working!D127</f>
        <v>3.0773115147945566E-05</v>
      </c>
      <c r="E25" s="236">
        <f>Working!E127</f>
        <v>5.648019502004712E-05</v>
      </c>
      <c r="F25" s="236">
        <f>Working!F127</f>
        <v>7.779170096506785E-05</v>
      </c>
      <c r="G25" s="236">
        <f>Working!G127</f>
        <v>9.53224450462005E-05</v>
      </c>
      <c r="H25" s="236">
        <f>Working!H127</f>
        <v>9.071286260983687E-05</v>
      </c>
      <c r="I25" s="236">
        <f>Working!I127</f>
        <v>0.0001015035842847777</v>
      </c>
      <c r="J25" s="236">
        <f>Working!J127</f>
        <v>9.653752358634781E-05</v>
      </c>
      <c r="K25" s="236">
        <f>Working!K127</f>
        <v>9.179108627106579E-05</v>
      </c>
      <c r="L25" s="236">
        <f>Working!L127</f>
        <v>8.726457750775396E-05</v>
      </c>
      <c r="M25" s="236">
        <f>Working!M127</f>
        <v>8.291836728906449E-05</v>
      </c>
      <c r="N25" s="236">
        <f>Working!N127</f>
        <v>9.220223473478556E-05</v>
      </c>
      <c r="O25" s="1053">
        <f>Working!O127</f>
        <v>8.756790610184073E-05</v>
      </c>
    </row>
    <row r="26" spans="1:15" ht="14.25" customHeight="1">
      <c r="A26" s="1165" t="str">
        <f>Working!A131</f>
        <v>Scenario 7: Expand existing schemes to guarantee employment, paid at the minimum wage plus social insurance (SSS &amp; PhilHealth)</v>
      </c>
      <c r="B26" s="239">
        <f>Working!B151</f>
        <v>0</v>
      </c>
      <c r="C26" s="240">
        <f>Working!C151</f>
        <v>0</v>
      </c>
      <c r="D26" s="240">
        <f>Working!D151</f>
        <v>0</v>
      </c>
      <c r="E26" s="240">
        <f>Working!E151</f>
        <v>0</v>
      </c>
      <c r="F26" s="240">
        <f>Working!F151</f>
        <v>0</v>
      </c>
      <c r="G26" s="240">
        <f>Working!G151</f>
        <v>0</v>
      </c>
      <c r="H26" s="240">
        <f>Working!H151</f>
        <v>0</v>
      </c>
      <c r="I26" s="240">
        <f>Working!I151</f>
        <v>0</v>
      </c>
      <c r="J26" s="240">
        <f>Working!J151</f>
        <v>0.000618217663344094</v>
      </c>
      <c r="K26" s="240">
        <f>Working!K151</f>
        <v>0.001260380415087647</v>
      </c>
      <c r="L26" s="240">
        <f>Working!L151</f>
        <v>0.0019272277654609697</v>
      </c>
      <c r="M26" s="240">
        <f>Working!M151</f>
        <v>0.002619518801548482</v>
      </c>
      <c r="N26" s="240">
        <f>Working!N151</f>
        <v>0.002670400749030854</v>
      </c>
      <c r="O26" s="1054">
        <f>Working!O151</f>
        <v>0.0027222935178465896</v>
      </c>
    </row>
    <row r="27" spans="1:15" ht="14.25" customHeight="1">
      <c r="A27" s="1165"/>
      <c r="B27" s="239">
        <f>Working!B168</f>
        <v>0</v>
      </c>
      <c r="C27" s="240">
        <f>Working!C168</f>
        <v>0</v>
      </c>
      <c r="D27" s="240">
        <f>Working!D168</f>
        <v>0</v>
      </c>
      <c r="E27" s="240">
        <f>Working!E168</f>
        <v>0</v>
      </c>
      <c r="F27" s="240">
        <f>Working!F168</f>
        <v>0</v>
      </c>
      <c r="G27" s="240">
        <f>Working!G168</f>
        <v>0</v>
      </c>
      <c r="H27" s="240">
        <f>Working!H168</f>
        <v>0</v>
      </c>
      <c r="I27" s="240">
        <f>Working!I168</f>
        <v>0</v>
      </c>
      <c r="J27" s="240">
        <f>Working!J168</f>
        <v>0.0013968367052339162</v>
      </c>
      <c r="K27" s="240">
        <f>Working!K168</f>
        <v>0.002850324942068207</v>
      </c>
      <c r="L27" s="240">
        <f>Working!L168</f>
        <v>0.00436206122921072</v>
      </c>
      <c r="M27" s="240">
        <f>Working!M168</f>
        <v>0.005933681785598068</v>
      </c>
      <c r="N27" s="240">
        <f>Working!N168</f>
        <v>0.0060534462829345045</v>
      </c>
      <c r="O27" s="1054">
        <f>Working!O168</f>
        <v>0.006175399260410038</v>
      </c>
    </row>
    <row r="28" spans="1:15" ht="14.25" customHeight="1">
      <c r="A28" s="1166" t="str">
        <f>Working!A171</f>
        <v>Scenario 8: Expand existing schemes to guarantee employment, paid at the minimum wage plus social insurance (SSS &amp; PhilHealth)</v>
      </c>
      <c r="B28" s="235">
        <f>Working!B191</f>
        <v>0</v>
      </c>
      <c r="C28" s="236">
        <f>Working!C191</f>
        <v>0</v>
      </c>
      <c r="D28" s="236">
        <f>Working!D191</f>
        <v>0</v>
      </c>
      <c r="E28" s="236">
        <f>Working!E191</f>
        <v>0</v>
      </c>
      <c r="F28" s="236">
        <f>Working!F191</f>
        <v>0</v>
      </c>
      <c r="G28" s="236">
        <f>Working!G191</f>
        <v>0</v>
      </c>
      <c r="H28" s="236">
        <f>Working!H191</f>
        <v>0</v>
      </c>
      <c r="I28" s="236">
        <f>Working!I191</f>
        <v>0</v>
      </c>
      <c r="J28" s="236">
        <f>Working!J191</f>
        <v>0.000824290217792125</v>
      </c>
      <c r="K28" s="236">
        <f>Working!K191</f>
        <v>0.0016805072201168622</v>
      </c>
      <c r="L28" s="236">
        <f>Working!L191</f>
        <v>0.002569637020614626</v>
      </c>
      <c r="M28" s="236">
        <f>Working!M191</f>
        <v>0.003492691735397976</v>
      </c>
      <c r="N28" s="236">
        <f>Working!N191</f>
        <v>0.003560534332041139</v>
      </c>
      <c r="O28" s="1053">
        <f>Working!O191</f>
        <v>0.0036297246904621197</v>
      </c>
    </row>
    <row r="29" spans="1:15" ht="14.25" customHeight="1">
      <c r="A29" s="1166"/>
      <c r="B29" s="235">
        <f>Working!B208</f>
        <v>0</v>
      </c>
      <c r="C29" s="236">
        <f>Working!C208</f>
        <v>0</v>
      </c>
      <c r="D29" s="236">
        <f>Working!D208</f>
        <v>0</v>
      </c>
      <c r="E29" s="236">
        <f>Working!E208</f>
        <v>0</v>
      </c>
      <c r="F29" s="236">
        <f>Working!F208</f>
        <v>0</v>
      </c>
      <c r="G29" s="236">
        <f>Working!G208</f>
        <v>0</v>
      </c>
      <c r="H29" s="236">
        <f>Working!H208</f>
        <v>0</v>
      </c>
      <c r="I29" s="236">
        <f>Working!I208</f>
        <v>0</v>
      </c>
      <c r="J29" s="236">
        <f>Working!J208</f>
        <v>0.0018624489403118883</v>
      </c>
      <c r="K29" s="236">
        <f>Working!K208</f>
        <v>0.0038004332560909425</v>
      </c>
      <c r="L29" s="236">
        <f>Working!L208</f>
        <v>0.0058160816389476264</v>
      </c>
      <c r="M29" s="236">
        <f>Working!M208</f>
        <v>0.007911575714130757</v>
      </c>
      <c r="N29" s="236">
        <f>Working!N208</f>
        <v>0.00807126171057934</v>
      </c>
      <c r="O29" s="1053">
        <f>Working!O208</f>
        <v>0.008233865680546718</v>
      </c>
    </row>
    <row r="30" spans="1:15" ht="14.25" customHeight="1">
      <c r="A30" s="1165" t="str">
        <f>Working!A211</f>
        <v>Scenario 9: Expand existing schemes to guarantee employment, paid at the minimum wage plus social insurance (SSS &amp; PhilHealth)</v>
      </c>
      <c r="B30" s="239">
        <f>Working!B231</f>
        <v>0</v>
      </c>
      <c r="C30" s="240">
        <f>Working!C231</f>
        <v>0</v>
      </c>
      <c r="D30" s="240">
        <f>Working!D231</f>
        <v>0</v>
      </c>
      <c r="E30" s="240">
        <f>Working!E231</f>
        <v>0</v>
      </c>
      <c r="F30" s="240">
        <f>Working!F231</f>
        <v>0</v>
      </c>
      <c r="G30" s="240">
        <f>Working!G231</f>
        <v>0</v>
      </c>
      <c r="H30" s="240">
        <f>Working!H231</f>
        <v>0</v>
      </c>
      <c r="I30" s="240">
        <f>Working!I231</f>
        <v>0</v>
      </c>
      <c r="J30" s="240">
        <f>Working!J231</f>
        <v>0.0010303627722401565</v>
      </c>
      <c r="K30" s="240">
        <f>Working!K231</f>
        <v>0.0021006340251460776</v>
      </c>
      <c r="L30" s="240">
        <f>Working!L231</f>
        <v>0.0032120462757682824</v>
      </c>
      <c r="M30" s="240">
        <f>Working!M231</f>
        <v>0.00436586466924747</v>
      </c>
      <c r="N30" s="240">
        <f>Working!N231</f>
        <v>0.004450667915051424</v>
      </c>
      <c r="O30" s="1054">
        <f>Working!O231</f>
        <v>0.004537155863077649</v>
      </c>
    </row>
    <row r="31" spans="1:15" ht="14.25" customHeight="1">
      <c r="A31" s="1165"/>
      <c r="B31" s="239">
        <f>Working!B248</f>
        <v>0</v>
      </c>
      <c r="C31" s="240">
        <f>Working!C248</f>
        <v>0</v>
      </c>
      <c r="D31" s="240">
        <f>Working!D248</f>
        <v>0</v>
      </c>
      <c r="E31" s="240">
        <f>Working!E248</f>
        <v>0</v>
      </c>
      <c r="F31" s="240">
        <f>Working!F248</f>
        <v>0</v>
      </c>
      <c r="G31" s="240">
        <f>Working!G248</f>
        <v>0</v>
      </c>
      <c r="H31" s="240">
        <f>Working!H248</f>
        <v>0</v>
      </c>
      <c r="I31" s="240">
        <f>Working!I248</f>
        <v>0</v>
      </c>
      <c r="J31" s="240">
        <f>Working!J248</f>
        <v>0.002328061175389861</v>
      </c>
      <c r="K31" s="240">
        <f>Working!K248</f>
        <v>0.004750541570113677</v>
      </c>
      <c r="L31" s="240">
        <f>Working!L248</f>
        <v>0.007270102048684534</v>
      </c>
      <c r="M31" s="240">
        <f>Working!M248</f>
        <v>0.009889469642663448</v>
      </c>
      <c r="N31" s="240">
        <f>Working!N248</f>
        <v>0.010089077138224174</v>
      </c>
      <c r="O31" s="1054">
        <f>Working!O248</f>
        <v>0.010292332100683399</v>
      </c>
    </row>
    <row r="32" spans="1:15" ht="18" customHeight="1">
      <c r="A32" s="612" t="s">
        <v>140</v>
      </c>
      <c r="B32" s="242"/>
      <c r="C32" s="243"/>
      <c r="D32" s="243"/>
      <c r="E32" s="243"/>
      <c r="F32" s="243"/>
      <c r="G32" s="243"/>
      <c r="H32" s="243"/>
      <c r="I32" s="243"/>
      <c r="J32" s="243"/>
      <c r="K32" s="243"/>
      <c r="L32" s="243"/>
      <c r="M32" s="243"/>
      <c r="N32" s="243"/>
      <c r="O32" s="1055"/>
    </row>
    <row r="33" spans="1:15" ht="13.5" customHeight="1">
      <c r="A33" s="444" t="str">
        <f>Elderly!A10</f>
        <v xml:space="preserve">Scenario 1: Provide a social pension of PHP 750 per month, indexed on cumulative inflation every 5 years, to all poor elderly aged 60 years and above </v>
      </c>
      <c r="B33" s="235">
        <f>Elderly!B25</f>
        <v>0</v>
      </c>
      <c r="C33" s="236">
        <f>Elderly!C25</f>
        <v>0</v>
      </c>
      <c r="D33" s="236">
        <f>Elderly!D25</f>
        <v>0.0002386938504943291</v>
      </c>
      <c r="E33" s="236">
        <f>Elderly!E25</f>
        <v>0.0002237416937852545</v>
      </c>
      <c r="F33" s="236">
        <f>Elderly!F25</f>
        <v>0.0002098145144976252</v>
      </c>
      <c r="G33" s="236">
        <f>Elderly!G25</f>
        <v>0.0001968780340242089</v>
      </c>
      <c r="H33" s="236">
        <f>Elderly!H25</f>
        <v>0.00019127041108161984</v>
      </c>
      <c r="I33" s="236">
        <f>Elderly!I25</f>
        <v>0.00028370347148138795</v>
      </c>
      <c r="J33" s="236">
        <f>Elderly!J25</f>
        <v>0.0002751373499368907</v>
      </c>
      <c r="K33" s="236">
        <f>Elderly!K25</f>
        <v>0.0002666457678105696</v>
      </c>
      <c r="L33" s="236">
        <f>Elderly!L25</f>
        <v>0.00025841152508586075</v>
      </c>
      <c r="M33" s="236">
        <f>Elderly!M25</f>
        <v>0.0002504364864547354</v>
      </c>
      <c r="N33" s="236">
        <f>Elderly!N25</f>
        <v>0.0003379338588371115</v>
      </c>
      <c r="O33" s="1053">
        <f>Elderly!O25</f>
        <v>0.0003269244470896268</v>
      </c>
    </row>
    <row r="34" spans="1:15" ht="14.25" customHeight="1">
      <c r="A34" s="238" t="str">
        <f>Elderly!A28</f>
        <v>Scenario 2: Provide a social pension of PHP 1,000 per month, indexed on cumulative inflation every 5 years, to all poor elderly aged 60 years and above</v>
      </c>
      <c r="B34" s="239">
        <f>Elderly!B43</f>
        <v>0</v>
      </c>
      <c r="C34" s="240">
        <f>Elderly!C43</f>
        <v>0</v>
      </c>
      <c r="D34" s="240">
        <f>Elderly!D43</f>
        <v>0.0004773877009886582</v>
      </c>
      <c r="E34" s="240">
        <f>Elderly!E43</f>
        <v>0.000447483387570509</v>
      </c>
      <c r="F34" s="240">
        <f>Elderly!F43</f>
        <v>0.0004196290289952504</v>
      </c>
      <c r="G34" s="240">
        <f>Elderly!G43</f>
        <v>0.0003937560680484178</v>
      </c>
      <c r="H34" s="240">
        <f>Elderly!H43</f>
        <v>0.0003825408221632397</v>
      </c>
      <c r="I34" s="240">
        <f>Elderly!I43</f>
        <v>0.0005019955543440779</v>
      </c>
      <c r="J34" s="240">
        <f>Elderly!J43</f>
        <v>0.00048683833786429743</v>
      </c>
      <c r="K34" s="240">
        <f>Elderly!K43</f>
        <v>0.0004718130142244333</v>
      </c>
      <c r="L34" s="240">
        <f>Elderly!L43</f>
        <v>0.00045724303656568215</v>
      </c>
      <c r="M34" s="240">
        <f>Elderly!M43</f>
        <v>0.0004431317043438986</v>
      </c>
      <c r="N34" s="240">
        <f>Elderly!N43</f>
        <v>0.0005563190132152689</v>
      </c>
      <c r="O34" s="1054">
        <f>Elderly!O43</f>
        <v>0.0005381949190492759</v>
      </c>
    </row>
    <row r="35" spans="1:15" ht="14.25" customHeight="1">
      <c r="A35" s="1164" t="str">
        <f>Elderly!A46</f>
        <v>Scenario 3: Provide a means-tested social pension of PHP 750 per month, indexed on cumulative inflation every 5 years, to all poor elderly aged 60+ years, and a universal pension to all elderly aged a) 80+ years or b) 70+ years</v>
      </c>
      <c r="B35" s="235">
        <f>Elderly!B108</f>
        <v>0</v>
      </c>
      <c r="C35" s="236">
        <f>Elderly!C108</f>
        <v>0</v>
      </c>
      <c r="D35" s="236">
        <f>Elderly!D108</f>
        <v>0.0018273789719363152</v>
      </c>
      <c r="E35" s="236">
        <f>Elderly!E108</f>
        <v>0.0017251461309286532</v>
      </c>
      <c r="F35" s="236">
        <f>Elderly!F108</f>
        <v>0.0016271255531937689</v>
      </c>
      <c r="G35" s="236">
        <f>Elderly!G108</f>
        <v>0.0015342184004992264</v>
      </c>
      <c r="H35" s="236">
        <f>Elderly!H108</f>
        <v>0.001509305920521681</v>
      </c>
      <c r="I35" s="236">
        <f>Elderly!I108</f>
        <v>0.0017849920091454897</v>
      </c>
      <c r="J35" s="236">
        <f>Elderly!J108</f>
        <v>0.0017483131240364758</v>
      </c>
      <c r="K35" s="236">
        <f>Elderly!K108</f>
        <v>0.001710910640975913</v>
      </c>
      <c r="L35" s="236">
        <f>Elderly!L108</f>
        <v>0.0016749062314006433</v>
      </c>
      <c r="M35" s="236">
        <f>Elderly!M108</f>
        <v>0.0016533600827126603</v>
      </c>
      <c r="N35" s="236">
        <f>Elderly!N108</f>
        <v>0.0019415337142989707</v>
      </c>
      <c r="O35" s="1053">
        <f>Elderly!O108</f>
        <v>0.0019086686312614</v>
      </c>
    </row>
    <row r="36" spans="1:15" ht="14.25" customHeight="1">
      <c r="A36" s="1164"/>
      <c r="B36" s="235">
        <f>Elderly!B76</f>
        <v>0</v>
      </c>
      <c r="C36" s="236">
        <f>Elderly!C76</f>
        <v>0</v>
      </c>
      <c r="D36" s="236">
        <f>Elderly!D76</f>
        <v>0.0006234388913286541</v>
      </c>
      <c r="E36" s="236">
        <f>Elderly!E76</f>
        <v>0.0005888627439262673</v>
      </c>
      <c r="F36" s="236">
        <f>Elderly!F76</f>
        <v>0.0005482991918305773</v>
      </c>
      <c r="G36" s="236">
        <f>Elderly!G76</f>
        <v>0.0005051251542143097</v>
      </c>
      <c r="H36" s="236">
        <f>Elderly!H76</f>
        <v>0.0004961190285681591</v>
      </c>
      <c r="I36" s="236">
        <f>Elderly!I76</f>
        <v>0.0006293589185416614</v>
      </c>
      <c r="J36" s="236">
        <f>Elderly!J76</f>
        <v>0.0006073685549562283</v>
      </c>
      <c r="K36" s="236">
        <f>Elderly!K76</f>
        <v>0.0005835872132891899</v>
      </c>
      <c r="L36" s="236">
        <f>Elderly!L76</f>
        <v>0.0005596616579881272</v>
      </c>
      <c r="M36" s="236">
        <f>Elderly!M76</f>
        <v>0.0005557712805842382</v>
      </c>
      <c r="N36" s="236">
        <f>Elderly!N76</f>
        <v>0.0006930635588704298</v>
      </c>
      <c r="O36" s="1053">
        <f>Elderly!O76</f>
        <v>0.0006785908420030782</v>
      </c>
    </row>
    <row r="37" spans="1:15" ht="14.25" customHeight="1">
      <c r="A37" s="238" t="str">
        <f>Elderly!A111</f>
        <v>Scenario 4: Provide a social pension of PHP 750 per month, indexed on cumulative inflation every 5 years, and extend coverage to all senior citizens aged 60 years and above, not receiving any form of contributory pension</v>
      </c>
      <c r="B37" s="239">
        <f>Elderly!B128</f>
        <v>0</v>
      </c>
      <c r="C37" s="240">
        <f>Elderly!C128</f>
        <v>0</v>
      </c>
      <c r="D37" s="240">
        <f>Elderly!D128</f>
        <v>0.0029860758656619175</v>
      </c>
      <c r="E37" s="240">
        <f>Elderly!E128</f>
        <v>0.0028270636429884423</v>
      </c>
      <c r="F37" s="240">
        <f>Elderly!F128</f>
        <v>0.002677838847046694</v>
      </c>
      <c r="G37" s="240">
        <f>Elderly!G128</f>
        <v>0.002538272045581503</v>
      </c>
      <c r="H37" s="240">
        <f>Elderly!H128</f>
        <v>0.0024912253336743058</v>
      </c>
      <c r="I37" s="240">
        <f>Elderly!I128</f>
        <v>0.0029404542782041202</v>
      </c>
      <c r="J37" s="240">
        <f>Elderly!J128</f>
        <v>0.002880625674014217</v>
      </c>
      <c r="K37" s="240">
        <f>Elderly!K128</f>
        <v>0.00282029070277677</v>
      </c>
      <c r="L37" s="240">
        <f>Elderly!L128</f>
        <v>0.0027613916617828826</v>
      </c>
      <c r="M37" s="240">
        <f>Elderly!M128</f>
        <v>0.0027039981037166984</v>
      </c>
      <c r="N37" s="240">
        <f>Elderly!N128</f>
        <v>0.0031528284071619017</v>
      </c>
      <c r="O37" s="1054">
        <f>Elderly!O128</f>
        <v>0.00308177644273948</v>
      </c>
    </row>
    <row r="38" spans="1:15" ht="14.25" customHeight="1">
      <c r="A38" s="696" t="str">
        <f>Elderly!A131</f>
        <v>Scenario 5: Provide a social pension of PHP 1,000 per month, indexed on cumulative inflation every 5 years, and extend coverage to all senior citizens aged 60 years and above, not receiving any form of contributory pension</v>
      </c>
      <c r="B38" s="235">
        <f>Elderly!B148</f>
        <v>0</v>
      </c>
      <c r="C38" s="236">
        <f>Elderly!C148</f>
        <v>0</v>
      </c>
      <c r="D38" s="236">
        <f>Elderly!D148</f>
        <v>0.004146743497276688</v>
      </c>
      <c r="E38" s="236">
        <f>Elderly!E148</f>
        <v>0.003924371985052695</v>
      </c>
      <c r="F38" s="236">
        <f>Elderly!F148</f>
        <v>0.0037157602300509057</v>
      </c>
      <c r="G38" s="236">
        <f>Elderly!G148</f>
        <v>0.0035207119160542387</v>
      </c>
      <c r="H38" s="236">
        <f>Elderly!H148</f>
        <v>0.0034540993703730764</v>
      </c>
      <c r="I38" s="236">
        <f>Elderly!I148</f>
        <v>0.004049134788901335</v>
      </c>
      <c r="J38" s="236">
        <f>Elderly!J148</f>
        <v>0.003965482519013942</v>
      </c>
      <c r="K38" s="236">
        <f>Elderly!K148</f>
        <v>0.003881188862417956</v>
      </c>
      <c r="L38" s="236">
        <f>Elderly!L148</f>
        <v>0.0037989263645805274</v>
      </c>
      <c r="M38" s="236">
        <f>Elderly!M148</f>
        <v>0.0037187886071943185</v>
      </c>
      <c r="N38" s="236">
        <f>Elderly!N148</f>
        <v>0.004313618172849582</v>
      </c>
      <c r="O38" s="1053">
        <f>Elderly!O148</f>
        <v>0.004215303560094248</v>
      </c>
    </row>
    <row r="39" spans="1:15" ht="14.25" customHeight="1">
      <c r="A39" s="238" t="str">
        <f>Elderly!A151</f>
        <v>Scenario 6: Provide PHP 750, indexed on cumulative inflation every 5 years, and extend coverage to all senior citizens aged 60 years and above for universal coverage</v>
      </c>
      <c r="B39" s="239">
        <f>Elderly!B167</f>
        <v>0</v>
      </c>
      <c r="C39" s="240">
        <f>Elderly!C167</f>
        <v>0</v>
      </c>
      <c r="D39" s="240">
        <f>Elderly!D167</f>
        <v>0.004103812594125811</v>
      </c>
      <c r="E39" s="240">
        <f>Elderly!E167</f>
        <v>0.0038837846223343346</v>
      </c>
      <c r="F39" s="240">
        <f>Elderly!F167</f>
        <v>0.003677369478764092</v>
      </c>
      <c r="G39" s="240">
        <f>Elderly!G167</f>
        <v>0.003484373321109409</v>
      </c>
      <c r="H39" s="240">
        <f>Elderly!H167</f>
        <v>0.0034184844786589873</v>
      </c>
      <c r="I39" s="240">
        <f>Elderly!I167</f>
        <v>0.004008126791147674</v>
      </c>
      <c r="J39" s="240">
        <f>Elderly!J167</f>
        <v>0.003925355713650675</v>
      </c>
      <c r="K39" s="240">
        <f>Elderly!K167</f>
        <v>0.0038419482435672904</v>
      </c>
      <c r="L39" s="240">
        <f>Elderly!L167</f>
        <v>0.0037605499158641013</v>
      </c>
      <c r="M39" s="240">
        <f>Elderly!M167</f>
        <v>0.003681253423446137</v>
      </c>
      <c r="N39" s="240">
        <f>Elderly!N167</f>
        <v>0.004270682752190064</v>
      </c>
      <c r="O39" s="1054">
        <f>Elderly!O167</f>
        <v>0.004173376533296451</v>
      </c>
    </row>
    <row r="40" spans="1:15" s="614" customFormat="1" ht="18" customHeight="1">
      <c r="A40" s="610" t="s">
        <v>329</v>
      </c>
      <c r="B40" s="611"/>
      <c r="C40" s="612"/>
      <c r="D40" s="612"/>
      <c r="E40" s="612"/>
      <c r="F40" s="612"/>
      <c r="G40" s="612"/>
      <c r="H40" s="612"/>
      <c r="I40" s="612"/>
      <c r="J40" s="612"/>
      <c r="K40" s="612"/>
      <c r="L40" s="612"/>
      <c r="M40" s="612"/>
      <c r="N40" s="612"/>
      <c r="O40" s="1056"/>
    </row>
    <row r="41" spans="1:15" ht="14.25" customHeight="1">
      <c r="A41" s="234" t="str">
        <f>'Cross-Cutting'!A10:I10</f>
        <v>Scenario 1: Provide a disability allowance of PHP 750 per month, indexed on cumulative inflation every 5 years, to all PWDs not receiving any other allowance</v>
      </c>
      <c r="B41" s="235">
        <f>'Cross-Cutting'!B23</f>
        <v>0</v>
      </c>
      <c r="C41" s="236">
        <f>'Cross-Cutting'!C23</f>
        <v>0</v>
      </c>
      <c r="D41" s="236">
        <f>'Cross-Cutting'!D23</f>
        <v>0.0001618291004674748</v>
      </c>
      <c r="E41" s="236">
        <f>'Cross-Cutting'!E23</f>
        <v>0.00029801178194747654</v>
      </c>
      <c r="F41" s="236">
        <f>'Cross-Cutting'!F23</f>
        <v>0.00041193211599645447</v>
      </c>
      <c r="G41" s="236">
        <f>'Cross-Cutting'!G23</f>
        <v>0.000506659704628643</v>
      </c>
      <c r="H41" s="236">
        <f>'Cross-Cutting'!H23</f>
        <v>0.00048404906636404475</v>
      </c>
      <c r="I41" s="236">
        <f>'Cross-Cutting'!I23</f>
        <v>0.000543846322178837</v>
      </c>
      <c r="J41" s="236">
        <f>'Cross-Cutting'!J23</f>
        <v>0.0005194103709180892</v>
      </c>
      <c r="K41" s="236">
        <f>'Cross-Cutting'!K23</f>
        <v>0.0004959449627762414</v>
      </c>
      <c r="L41" s="236">
        <f>'Cross-Cutting'!L23</f>
        <v>0.00047344519220963326</v>
      </c>
      <c r="M41" s="236">
        <f>'Cross-Cutting'!M23</f>
        <v>0.000451846911622822</v>
      </c>
      <c r="N41" s="236">
        <f>'Cross-Cutting'!N23</f>
        <v>0.0005046627886319773</v>
      </c>
      <c r="O41" s="1053">
        <f>'Cross-Cutting'!O23</f>
        <v>0.00048140639617144036</v>
      </c>
    </row>
    <row r="42" spans="1:15" ht="14.25" customHeight="1">
      <c r="A42" s="238" t="str">
        <f>'Cross-Cutting'!A26:I26</f>
        <v>Scenario 2: Provide a disability allowance of PHP 1,000 per month, indexed on cumulative inflation every 5 years, to all PWDs not receiving any other allowance</v>
      </c>
      <c r="B42" s="239">
        <f>'Cross-Cutting'!B39</f>
        <v>0</v>
      </c>
      <c r="C42" s="240">
        <f>'Cross-Cutting'!C39</f>
        <v>0</v>
      </c>
      <c r="D42" s="240">
        <f>'Cross-Cutting'!D39</f>
        <v>0.00021577213395663307</v>
      </c>
      <c r="E42" s="240">
        <f>'Cross-Cutting'!E39</f>
        <v>0.0003973490425966353</v>
      </c>
      <c r="F42" s="240">
        <f>'Cross-Cutting'!F39</f>
        <v>0.0005492428213286061</v>
      </c>
      <c r="G42" s="240">
        <f>'Cross-Cutting'!G39</f>
        <v>0.0006755462728381906</v>
      </c>
      <c r="H42" s="240">
        <f>'Cross-Cutting'!H39</f>
        <v>0.0006453987551520597</v>
      </c>
      <c r="I42" s="240">
        <f>'Cross-Cutting'!I39</f>
        <v>0.0007251284295717827</v>
      </c>
      <c r="J42" s="240">
        <f>'Cross-Cutting'!J39</f>
        <v>0.0006925471612241189</v>
      </c>
      <c r="K42" s="240">
        <f>'Cross-Cutting'!K39</f>
        <v>0.000661259950368322</v>
      </c>
      <c r="L42" s="240">
        <f>'Cross-Cutting'!L39</f>
        <v>0.0006312602562795111</v>
      </c>
      <c r="M42" s="240">
        <f>'Cross-Cutting'!M39</f>
        <v>0.0006024625488304294</v>
      </c>
      <c r="N42" s="240">
        <f>'Cross-Cutting'!N39</f>
        <v>0.0006728837181759697</v>
      </c>
      <c r="O42" s="1054">
        <f>'Cross-Cutting'!O39</f>
        <v>0.0006418751948952539</v>
      </c>
    </row>
    <row r="43" spans="1:15" ht="14.25" customHeight="1">
      <c r="A43" s="807" t="str">
        <f>'Cross-Cutting'!A42:I42</f>
        <v xml:space="preserve">Scenario 3: Provide a disability allowance of PHP 750 per month, indexed on cumulative inflation every 5 years, to all PWDs </v>
      </c>
      <c r="B43" s="235">
        <f>'Cross-Cutting'!B53</f>
        <v>0</v>
      </c>
      <c r="C43" s="236">
        <f>'Cross-Cutting'!C53</f>
        <v>0</v>
      </c>
      <c r="D43" s="236">
        <f>'Cross-Cutting'!D53</f>
        <v>0.0002512662527294428</v>
      </c>
      <c r="E43" s="236">
        <f>'Cross-Cutting'!E53</f>
        <v>0.0004635501315030255</v>
      </c>
      <c r="F43" s="236">
        <f>'Cross-Cutting'!F53</f>
        <v>0.0006418559372024692</v>
      </c>
      <c r="G43" s="236">
        <f>'Cross-Cutting'!G53</f>
        <v>0.0007907647961164965</v>
      </c>
      <c r="H43" s="236">
        <f>'Cross-Cutting'!H53</f>
        <v>0.0007566817814739277</v>
      </c>
      <c r="I43" s="236">
        <f>'Cross-Cutting'!I53</f>
        <v>0.0008514770182574811</v>
      </c>
      <c r="J43" s="236">
        <f>'Cross-Cutting'!J53</f>
        <v>0.000814443177107011</v>
      </c>
      <c r="K43" s="236">
        <f>'Cross-Cutting'!K53</f>
        <v>0.0007787853994254384</v>
      </c>
      <c r="L43" s="236">
        <f>'Cross-Cutting'!L53</f>
        <v>0.0007445036083478759</v>
      </c>
      <c r="M43" s="236">
        <f>'Cross-Cutting'!M53</f>
        <v>0.0007115168532872753</v>
      </c>
      <c r="N43" s="236">
        <f>'Cross-Cutting'!N53</f>
        <v>0.0007957478858254105</v>
      </c>
      <c r="O43" s="1053">
        <f>'Cross-Cutting'!O53</f>
        <v>0.0007600668507812269</v>
      </c>
    </row>
    <row r="44" spans="1:15" ht="14.25" customHeight="1">
      <c r="A44" s="822" t="str">
        <f>'Cross-Cutting'!A56:I56</f>
        <v>Scenario 4: Provide a disability allowance of PHP 1,000 per month, indexed on cumulative inflation every 5 years, to all PWDs</v>
      </c>
      <c r="B44" s="823">
        <f>'Cross-Cutting'!B67</f>
        <v>0</v>
      </c>
      <c r="C44" s="824">
        <f>'Cross-Cutting'!C67</f>
        <v>0</v>
      </c>
      <c r="D44" s="824">
        <f>'Cross-Cutting'!D67</f>
        <v>0.0003350216703059237</v>
      </c>
      <c r="E44" s="824">
        <f>'Cross-Cutting'!E67</f>
        <v>0.0006180668420040341</v>
      </c>
      <c r="F44" s="824">
        <f>'Cross-Cutting'!F67</f>
        <v>0.000855807916269959</v>
      </c>
      <c r="G44" s="824">
        <f>'Cross-Cutting'!G67</f>
        <v>0.0010543530614886619</v>
      </c>
      <c r="H44" s="824">
        <f>'Cross-Cutting'!H67</f>
        <v>0.0010089090419652367</v>
      </c>
      <c r="I44" s="824">
        <f>'Cross-Cutting'!I67</f>
        <v>0.001135302691009975</v>
      </c>
      <c r="J44" s="824">
        <f>'Cross-Cutting'!J67</f>
        <v>0.0010859242361426814</v>
      </c>
      <c r="K44" s="824">
        <f>'Cross-Cutting'!K67</f>
        <v>0.0010383805325672514</v>
      </c>
      <c r="L44" s="824">
        <f>'Cross-Cutting'!L67</f>
        <v>0.0009926714777971678</v>
      </c>
      <c r="M44" s="824">
        <f>'Cross-Cutting'!M67</f>
        <v>0.0009486891377163672</v>
      </c>
      <c r="N44" s="824">
        <f>'Cross-Cutting'!N67</f>
        <v>0.0010609971811005473</v>
      </c>
      <c r="O44" s="825">
        <f>'Cross-Cutting'!O67</f>
        <v>0.0010134224677083028</v>
      </c>
    </row>
    <row r="45" spans="1:15" ht="12" customHeight="1">
      <c r="A45" s="453"/>
      <c r="B45" s="377"/>
      <c r="C45" s="377"/>
      <c r="D45" s="377"/>
      <c r="E45" s="377"/>
      <c r="F45" s="377"/>
      <c r="G45" s="377"/>
      <c r="H45" s="377"/>
      <c r="I45" s="377"/>
      <c r="J45" s="1049"/>
      <c r="K45" s="1049"/>
      <c r="L45" s="1049"/>
      <c r="M45" s="1049"/>
      <c r="N45" s="1049"/>
      <c r="O45" s="1049"/>
    </row>
    <row r="46" spans="1:15" ht="15">
      <c r="A46" s="457" t="s">
        <v>72</v>
      </c>
      <c r="B46" s="445"/>
      <c r="C46" s="446"/>
      <c r="D46" s="446"/>
      <c r="E46" s="446"/>
      <c r="F46" s="446"/>
      <c r="G46" s="446"/>
      <c r="H46" s="446"/>
      <c r="I46" s="446"/>
      <c r="J46" s="446"/>
      <c r="K46" s="446"/>
      <c r="L46" s="446"/>
      <c r="M46" s="446"/>
      <c r="N46" s="446"/>
      <c r="O46" s="447"/>
    </row>
    <row r="47" spans="1:15" ht="15">
      <c r="A47" s="40" t="s">
        <v>136</v>
      </c>
      <c r="B47" s="378">
        <f aca="true" t="shared" si="56" ref="B47:I47">SUM(B10)</f>
        <v>0</v>
      </c>
      <c r="C47" s="244">
        <f t="shared" si="56"/>
        <v>0</v>
      </c>
      <c r="D47" s="244">
        <f t="shared" si="56"/>
        <v>7.110428350904736E-05</v>
      </c>
      <c r="E47" s="244">
        <f t="shared" si="56"/>
        <v>0.00012295061080643658</v>
      </c>
      <c r="F47" s="244">
        <f t="shared" si="56"/>
        <v>0.0001590473927033908</v>
      </c>
      <c r="G47" s="244">
        <f t="shared" si="56"/>
        <v>0.0001824094702125688</v>
      </c>
      <c r="H47" s="244">
        <f t="shared" si="56"/>
        <v>0.0001618318436329511</v>
      </c>
      <c r="I47" s="244">
        <f t="shared" si="56"/>
        <v>0.00014290490318784153</v>
      </c>
      <c r="J47" s="244">
        <f aca="true" t="shared" si="57" ref="J47:O47">SUM(J10)</f>
        <v>0.0001255161282229677</v>
      </c>
      <c r="K47" s="244">
        <f t="shared" si="57"/>
        <v>0.00010954674845650752</v>
      </c>
      <c r="L47" s="244">
        <f t="shared" si="57"/>
        <v>9.490536371680148E-05</v>
      </c>
      <c r="M47" s="244">
        <f t="shared" si="57"/>
        <v>8.153089257795362E-05</v>
      </c>
      <c r="N47" s="244">
        <f t="shared" si="57"/>
        <v>6.934499430135415E-05</v>
      </c>
      <c r="O47" s="1057">
        <f t="shared" si="57"/>
        <v>5.828252830002873E-05</v>
      </c>
    </row>
    <row r="48" spans="1:16" ht="15">
      <c r="A48" s="40" t="s">
        <v>137</v>
      </c>
      <c r="B48" s="378">
        <f>SUM(B19,B15)</f>
        <v>0</v>
      </c>
      <c r="C48" s="244">
        <f aca="true" t="shared" si="58" ref="C48:I48">SUM(C19,C15)</f>
        <v>0</v>
      </c>
      <c r="D48" s="244">
        <f>SUM(D19,D15)</f>
        <v>0.0017362060326784365</v>
      </c>
      <c r="E48" s="244">
        <f t="shared" si="58"/>
        <v>0.0025419056483176796</v>
      </c>
      <c r="F48" s="244">
        <f t="shared" si="58"/>
        <v>0.003306256548529787</v>
      </c>
      <c r="G48" s="244">
        <f t="shared" si="58"/>
        <v>0.004004825244434624</v>
      </c>
      <c r="H48" s="244">
        <f t="shared" si="58"/>
        <v>0.004002767999035626</v>
      </c>
      <c r="I48" s="244">
        <f t="shared" si="58"/>
        <v>0.0047460956939716446</v>
      </c>
      <c r="J48" s="244">
        <f aca="true" t="shared" si="59" ref="J48:O48">SUM(J19,J15)</f>
        <v>0.004667136868027205</v>
      </c>
      <c r="K48" s="244">
        <f t="shared" si="59"/>
        <v>0.004589738722860396</v>
      </c>
      <c r="L48" s="244">
        <f t="shared" si="59"/>
        <v>0.0045133911443362845</v>
      </c>
      <c r="M48" s="244">
        <f t="shared" si="59"/>
        <v>0.004439183136002326</v>
      </c>
      <c r="N48" s="244">
        <f t="shared" si="59"/>
        <v>0.0050303893958470606</v>
      </c>
      <c r="O48" s="1057">
        <f t="shared" si="59"/>
        <v>0.0049215692767007576</v>
      </c>
      <c r="P48" s="721" t="s">
        <v>423</v>
      </c>
    </row>
    <row r="49" spans="1:16" ht="15">
      <c r="A49" s="40" t="s">
        <v>138</v>
      </c>
      <c r="B49" s="378">
        <f>SUM(B21,B23,B25,B27)</f>
        <v>0</v>
      </c>
      <c r="C49" s="244">
        <f aca="true" t="shared" si="60" ref="C49:I49">SUM(C21,C23,C25,C27)</f>
        <v>0</v>
      </c>
      <c r="D49" s="244">
        <f t="shared" si="60"/>
        <v>0.00024220741989777406</v>
      </c>
      <c r="E49" s="244">
        <f t="shared" si="60"/>
        <v>0.0004926208587121661</v>
      </c>
      <c r="F49" s="244">
        <f t="shared" si="60"/>
        <v>0.0006963225171537323</v>
      </c>
      <c r="G49" s="244">
        <f t="shared" si="60"/>
        <v>0.0008737948528513369</v>
      </c>
      <c r="H49" s="244">
        <f t="shared" si="60"/>
        <v>0.0008520990210716362</v>
      </c>
      <c r="I49" s="244">
        <f t="shared" si="60"/>
        <v>0.0008464719093201302</v>
      </c>
      <c r="J49" s="244">
        <f aca="true" t="shared" si="61" ref="J49:O49">SUM(J21,J23,J25,J27)</f>
        <v>0.0022226501102593195</v>
      </c>
      <c r="K49" s="244">
        <f t="shared" si="61"/>
        <v>0.003656449040843335</v>
      </c>
      <c r="L49" s="244">
        <f t="shared" si="61"/>
        <v>0.0051495756214773</v>
      </c>
      <c r="M49" s="244">
        <f t="shared" si="61"/>
        <v>0.006703656453213616</v>
      </c>
      <c r="N49" s="244">
        <f t="shared" si="61"/>
        <v>0.00682048727698547</v>
      </c>
      <c r="O49" s="1057">
        <f t="shared" si="61"/>
        <v>0.006926631517522033</v>
      </c>
      <c r="P49" s="721" t="s">
        <v>422</v>
      </c>
    </row>
    <row r="50" spans="1:16" ht="15">
      <c r="A50" s="40" t="s">
        <v>140</v>
      </c>
      <c r="B50" s="378">
        <f>B33</f>
        <v>0</v>
      </c>
      <c r="C50" s="244">
        <f aca="true" t="shared" si="62" ref="C50:I50">C33</f>
        <v>0</v>
      </c>
      <c r="D50" s="244">
        <f t="shared" si="62"/>
        <v>0.0002386938504943291</v>
      </c>
      <c r="E50" s="244">
        <f t="shared" si="62"/>
        <v>0.0002237416937852545</v>
      </c>
      <c r="F50" s="244">
        <f t="shared" si="62"/>
        <v>0.0002098145144976252</v>
      </c>
      <c r="G50" s="244">
        <f t="shared" si="62"/>
        <v>0.0001968780340242089</v>
      </c>
      <c r="H50" s="244">
        <f t="shared" si="62"/>
        <v>0.00019127041108161984</v>
      </c>
      <c r="I50" s="244">
        <f t="shared" si="62"/>
        <v>0.00028370347148138795</v>
      </c>
      <c r="J50" s="244">
        <f aca="true" t="shared" si="63" ref="J50:O50">J33</f>
        <v>0.0002751373499368907</v>
      </c>
      <c r="K50" s="244">
        <f t="shared" si="63"/>
        <v>0.0002666457678105696</v>
      </c>
      <c r="L50" s="244">
        <f t="shared" si="63"/>
        <v>0.00025841152508586075</v>
      </c>
      <c r="M50" s="244">
        <f t="shared" si="63"/>
        <v>0.0002504364864547354</v>
      </c>
      <c r="N50" s="244">
        <f t="shared" si="63"/>
        <v>0.0003379338588371115</v>
      </c>
      <c r="O50" s="1057">
        <f t="shared" si="63"/>
        <v>0.0003269244470896268</v>
      </c>
      <c r="P50" s="721"/>
    </row>
    <row r="51" spans="1:16" ht="15">
      <c r="A51" s="449" t="s">
        <v>329</v>
      </c>
      <c r="B51" s="378">
        <f>B41</f>
        <v>0</v>
      </c>
      <c r="C51" s="244">
        <f aca="true" t="shared" si="64" ref="C51:I51">C41</f>
        <v>0</v>
      </c>
      <c r="D51" s="244">
        <f>D41</f>
        <v>0.0001618291004674748</v>
      </c>
      <c r="E51" s="244">
        <f>E41</f>
        <v>0.00029801178194747654</v>
      </c>
      <c r="F51" s="244">
        <f t="shared" si="64"/>
        <v>0.00041193211599645447</v>
      </c>
      <c r="G51" s="244">
        <f t="shared" si="64"/>
        <v>0.000506659704628643</v>
      </c>
      <c r="H51" s="244">
        <f t="shared" si="64"/>
        <v>0.00048404906636404475</v>
      </c>
      <c r="I51" s="244">
        <f t="shared" si="64"/>
        <v>0.000543846322178837</v>
      </c>
      <c r="J51" s="244">
        <f aca="true" t="shared" si="65" ref="J51:O51">J41</f>
        <v>0.0005194103709180892</v>
      </c>
      <c r="K51" s="244">
        <f t="shared" si="65"/>
        <v>0.0004959449627762414</v>
      </c>
      <c r="L51" s="244">
        <f t="shared" si="65"/>
        <v>0.00047344519220963326</v>
      </c>
      <c r="M51" s="244">
        <f t="shared" si="65"/>
        <v>0.000451846911622822</v>
      </c>
      <c r="N51" s="244">
        <f t="shared" si="65"/>
        <v>0.0005046627886319773</v>
      </c>
      <c r="O51" s="1057">
        <f t="shared" si="65"/>
        <v>0.00048140639617144036</v>
      </c>
      <c r="P51" s="721"/>
    </row>
    <row r="52" spans="1:15" ht="15">
      <c r="A52" s="247" t="s">
        <v>14</v>
      </c>
      <c r="B52" s="379">
        <f>SUM(B47:B51)</f>
        <v>0</v>
      </c>
      <c r="C52" s="379">
        <f aca="true" t="shared" si="66" ref="C52:H52">SUM(C47:C51)</f>
        <v>0</v>
      </c>
      <c r="D52" s="379">
        <f t="shared" si="66"/>
        <v>0.0024500406870470617</v>
      </c>
      <c r="E52" s="379">
        <f t="shared" si="66"/>
        <v>0.003679230593569013</v>
      </c>
      <c r="F52" s="379">
        <f t="shared" si="66"/>
        <v>0.00478337308888099</v>
      </c>
      <c r="G52" s="379">
        <f t="shared" si="66"/>
        <v>0.005764567306151382</v>
      </c>
      <c r="H52" s="379">
        <f t="shared" si="66"/>
        <v>0.005692018341185877</v>
      </c>
      <c r="I52" s="379">
        <f>SUM(I47:I51)</f>
        <v>0.006563022300139841</v>
      </c>
      <c r="J52" s="379">
        <f aca="true" t="shared" si="67" ref="J52:O52">SUM(J47:J51)</f>
        <v>0.007809850827364473</v>
      </c>
      <c r="K52" s="379">
        <f t="shared" si="67"/>
        <v>0.009118325242747048</v>
      </c>
      <c r="L52" s="379">
        <f t="shared" si="67"/>
        <v>0.01048972884682588</v>
      </c>
      <c r="M52" s="379">
        <f t="shared" si="67"/>
        <v>0.01192665387987145</v>
      </c>
      <c r="N52" s="379">
        <f t="shared" si="67"/>
        <v>0.012762818314602973</v>
      </c>
      <c r="O52" s="379">
        <f t="shared" si="67"/>
        <v>0.012714814165783886</v>
      </c>
    </row>
    <row r="53" spans="1:15" ht="15">
      <c r="A53" s="246"/>
      <c r="B53" s="458"/>
      <c r="C53" s="458"/>
      <c r="D53" s="458"/>
      <c r="E53" s="458"/>
      <c r="F53" s="458"/>
      <c r="G53" s="458"/>
      <c r="H53" s="458"/>
      <c r="I53" s="458"/>
      <c r="J53" s="1052"/>
      <c r="K53" s="1052"/>
      <c r="L53" s="1052"/>
      <c r="M53" s="1052"/>
      <c r="N53" s="1052"/>
      <c r="O53" s="1052"/>
    </row>
    <row r="54" spans="1:15" ht="15">
      <c r="A54" s="456" t="s">
        <v>73</v>
      </c>
      <c r="B54" s="445"/>
      <c r="C54" s="446"/>
      <c r="D54" s="446"/>
      <c r="E54" s="446"/>
      <c r="F54" s="446"/>
      <c r="G54" s="446"/>
      <c r="H54" s="446"/>
      <c r="I54" s="446"/>
      <c r="J54" s="446"/>
      <c r="K54" s="446"/>
      <c r="L54" s="446"/>
      <c r="M54" s="446"/>
      <c r="N54" s="446"/>
      <c r="O54" s="447"/>
    </row>
    <row r="55" spans="1:15" ht="15">
      <c r="A55" s="40" t="s">
        <v>136</v>
      </c>
      <c r="B55" s="378">
        <f aca="true" t="shared" si="68" ref="B55:I55">SUM(B12)</f>
        <v>0</v>
      </c>
      <c r="C55" s="244">
        <f t="shared" si="68"/>
        <v>0</v>
      </c>
      <c r="D55" s="244">
        <f t="shared" si="68"/>
        <v>0.00019553677964988023</v>
      </c>
      <c r="E55" s="244">
        <f t="shared" si="68"/>
        <v>0.00033811417971770056</v>
      </c>
      <c r="F55" s="244">
        <f t="shared" si="68"/>
        <v>0.00043738032993432467</v>
      </c>
      <c r="G55" s="244">
        <f t="shared" si="68"/>
        <v>0.0005016260430845643</v>
      </c>
      <c r="H55" s="244">
        <f t="shared" si="68"/>
        <v>0.0004450375699906155</v>
      </c>
      <c r="I55" s="244">
        <f t="shared" si="68"/>
        <v>0.0003929884837665642</v>
      </c>
      <c r="J55" s="244">
        <f aca="true" t="shared" si="69" ref="J55:O55">SUM(J12)</f>
        <v>0.0003451693526131612</v>
      </c>
      <c r="K55" s="244">
        <f t="shared" si="69"/>
        <v>0.00030125355825539566</v>
      </c>
      <c r="L55" s="244">
        <f t="shared" si="69"/>
        <v>0.0002609897502212041</v>
      </c>
      <c r="M55" s="244">
        <f t="shared" si="69"/>
        <v>0.00022420995458937243</v>
      </c>
      <c r="N55" s="244">
        <f t="shared" si="69"/>
        <v>0.0001906987343287239</v>
      </c>
      <c r="O55" s="1057">
        <f t="shared" si="69"/>
        <v>0.00016027695282507898</v>
      </c>
    </row>
    <row r="56" spans="1:15" ht="15">
      <c r="A56" s="40" t="s">
        <v>137</v>
      </c>
      <c r="B56" s="378">
        <f>SUM(B18,B19,B17)</f>
        <v>0</v>
      </c>
      <c r="C56" s="244">
        <f aca="true" t="shared" si="70" ref="C56:I56">SUM(C18,C19,C17)</f>
        <v>0</v>
      </c>
      <c r="D56" s="244">
        <f t="shared" si="70"/>
        <v>0.0022437834106724865</v>
      </c>
      <c r="E56" s="244">
        <f t="shared" si="70"/>
        <v>0.0030310263863353422</v>
      </c>
      <c r="F56" s="244">
        <f t="shared" si="70"/>
        <v>0.0037761470694306844</v>
      </c>
      <c r="G56" s="244">
        <f t="shared" si="70"/>
        <v>0.004455159990604532</v>
      </c>
      <c r="H56" s="244">
        <f t="shared" si="70"/>
        <v>0.00444826701297991</v>
      </c>
      <c r="I56" s="244">
        <f t="shared" si="70"/>
        <v>0.005273994571636555</v>
      </c>
      <c r="J56" s="244">
        <f aca="true" t="shared" si="71" ref="J56:O56">SUM(J18,J19,J17)</f>
        <v>0.005164346190355786</v>
      </c>
      <c r="K56" s="244">
        <f t="shared" si="71"/>
        <v>0.005057852204339191</v>
      </c>
      <c r="L56" s="244">
        <f t="shared" si="71"/>
        <v>0.004953954640790836</v>
      </c>
      <c r="M56" s="244">
        <f t="shared" si="71"/>
        <v>0.004853648251577058</v>
      </c>
      <c r="N56" s="244">
        <f t="shared" si="71"/>
        <v>0.005504905748119484</v>
      </c>
      <c r="O56" s="1057">
        <f t="shared" si="71"/>
        <v>0.005367726777875257</v>
      </c>
    </row>
    <row r="57" spans="1:15" ht="15">
      <c r="A57" s="40" t="s">
        <v>138</v>
      </c>
      <c r="B57" s="378">
        <f aca="true" t="shared" si="72" ref="B57:I57">SUM(B22,B24,B25,B31)</f>
        <v>0</v>
      </c>
      <c r="C57" s="244">
        <f t="shared" si="72"/>
        <v>0</v>
      </c>
      <c r="D57" s="244">
        <f t="shared" si="72"/>
        <v>0.000655121700666284</v>
      </c>
      <c r="E57" s="244">
        <f t="shared" si="72"/>
        <v>0.0012536366761915193</v>
      </c>
      <c r="F57" s="244">
        <f t="shared" si="72"/>
        <v>0.00181201014061357</v>
      </c>
      <c r="G57" s="244">
        <f t="shared" si="72"/>
        <v>0.0023225241014558735</v>
      </c>
      <c r="H57" s="244">
        <f t="shared" si="72"/>
        <v>0.002314269731643705</v>
      </c>
      <c r="I57" s="244">
        <f t="shared" si="72"/>
        <v>0.0023229211881889366</v>
      </c>
      <c r="J57" s="244">
        <f aca="true" t="shared" si="73" ref="J57:O57">SUM(J22,J24,J25,J31)</f>
        <v>0.004645607894634448</v>
      </c>
      <c r="K57" s="244">
        <f t="shared" si="73"/>
        <v>0.0070648349645094696</v>
      </c>
      <c r="L57" s="244">
        <f t="shared" si="73"/>
        <v>0.009583665539197133</v>
      </c>
      <c r="M57" s="244">
        <f t="shared" si="73"/>
        <v>0.012204708471508383</v>
      </c>
      <c r="N57" s="244">
        <f t="shared" si="73"/>
        <v>0.012422109715863357</v>
      </c>
      <c r="O57" s="1057">
        <f t="shared" si="73"/>
        <v>0.012631849705414262</v>
      </c>
    </row>
    <row r="58" spans="1:15" ht="15">
      <c r="A58" s="40" t="s">
        <v>140</v>
      </c>
      <c r="B58" s="378">
        <f>SUM(B38)</f>
        <v>0</v>
      </c>
      <c r="C58" s="244">
        <f aca="true" t="shared" si="74" ref="C58:I58">SUM(C38)</f>
        <v>0</v>
      </c>
      <c r="D58" s="244">
        <f t="shared" si="74"/>
        <v>0.004146743497276688</v>
      </c>
      <c r="E58" s="244">
        <f t="shared" si="74"/>
        <v>0.003924371985052695</v>
      </c>
      <c r="F58" s="244">
        <f t="shared" si="74"/>
        <v>0.0037157602300509057</v>
      </c>
      <c r="G58" s="244">
        <f t="shared" si="74"/>
        <v>0.0035207119160542387</v>
      </c>
      <c r="H58" s="244">
        <f t="shared" si="74"/>
        <v>0.0034540993703730764</v>
      </c>
      <c r="I58" s="244">
        <f t="shared" si="74"/>
        <v>0.004049134788901335</v>
      </c>
      <c r="J58" s="244">
        <f aca="true" t="shared" si="75" ref="J58:O58">SUM(J38)</f>
        <v>0.003965482519013942</v>
      </c>
      <c r="K58" s="244">
        <f t="shared" si="75"/>
        <v>0.003881188862417956</v>
      </c>
      <c r="L58" s="244">
        <f t="shared" si="75"/>
        <v>0.0037989263645805274</v>
      </c>
      <c r="M58" s="244">
        <f t="shared" si="75"/>
        <v>0.0037187886071943185</v>
      </c>
      <c r="N58" s="244">
        <f t="shared" si="75"/>
        <v>0.004313618172849582</v>
      </c>
      <c r="O58" s="1057">
        <f t="shared" si="75"/>
        <v>0.004215303560094248</v>
      </c>
    </row>
    <row r="59" spans="1:15" ht="15">
      <c r="A59" s="449" t="s">
        <v>329</v>
      </c>
      <c r="B59" s="378">
        <f>B44</f>
        <v>0</v>
      </c>
      <c r="C59" s="244">
        <f aca="true" t="shared" si="76" ref="C59:I59">C44</f>
        <v>0</v>
      </c>
      <c r="D59" s="244">
        <f t="shared" si="76"/>
        <v>0.0003350216703059237</v>
      </c>
      <c r="E59" s="244">
        <f>E44</f>
        <v>0.0006180668420040341</v>
      </c>
      <c r="F59" s="244">
        <f t="shared" si="76"/>
        <v>0.000855807916269959</v>
      </c>
      <c r="G59" s="244">
        <f t="shared" si="76"/>
        <v>0.0010543530614886619</v>
      </c>
      <c r="H59" s="244">
        <f t="shared" si="76"/>
        <v>0.0010089090419652367</v>
      </c>
      <c r="I59" s="244">
        <f t="shared" si="76"/>
        <v>0.001135302691009975</v>
      </c>
      <c r="J59" s="244">
        <f aca="true" t="shared" si="77" ref="J59:O59">J44</f>
        <v>0.0010859242361426814</v>
      </c>
      <c r="K59" s="244">
        <f t="shared" si="77"/>
        <v>0.0010383805325672514</v>
      </c>
      <c r="L59" s="244">
        <f t="shared" si="77"/>
        <v>0.0009926714777971678</v>
      </c>
      <c r="M59" s="244">
        <f t="shared" si="77"/>
        <v>0.0009486891377163672</v>
      </c>
      <c r="N59" s="244">
        <f t="shared" si="77"/>
        <v>0.0010609971811005473</v>
      </c>
      <c r="O59" s="1057">
        <f t="shared" si="77"/>
        <v>0.0010134224677083028</v>
      </c>
    </row>
    <row r="60" spans="1:15" ht="15">
      <c r="A60" s="247" t="s">
        <v>14</v>
      </c>
      <c r="B60" s="379">
        <f>SUM(B55:B59)</f>
        <v>0</v>
      </c>
      <c r="C60" s="379">
        <f aca="true" t="shared" si="78" ref="C60:I60">SUM(C55:C59)</f>
        <v>0</v>
      </c>
      <c r="D60" s="379">
        <f t="shared" si="78"/>
        <v>0.007576207058571263</v>
      </c>
      <c r="E60" s="379">
        <f t="shared" si="78"/>
        <v>0.009165216069301292</v>
      </c>
      <c r="F60" s="379">
        <f t="shared" si="78"/>
        <v>0.010597105686299443</v>
      </c>
      <c r="G60" s="379">
        <f t="shared" si="78"/>
        <v>0.01185437511268787</v>
      </c>
      <c r="H60" s="379">
        <f t="shared" si="78"/>
        <v>0.011670582726952544</v>
      </c>
      <c r="I60" s="379">
        <f t="shared" si="78"/>
        <v>0.013174341723503366</v>
      </c>
      <c r="J60" s="379">
        <f aca="true" t="shared" si="79" ref="J60:O60">SUM(J55:J59)</f>
        <v>0.015206530192760019</v>
      </c>
      <c r="K60" s="379">
        <f t="shared" si="79"/>
        <v>0.017343510122089265</v>
      </c>
      <c r="L60" s="379">
        <f t="shared" si="79"/>
        <v>0.019590207772586868</v>
      </c>
      <c r="M60" s="379">
        <f t="shared" si="79"/>
        <v>0.0219500444225855</v>
      </c>
      <c r="N60" s="379">
        <f t="shared" si="79"/>
        <v>0.023492329552261697</v>
      </c>
      <c r="O60" s="379">
        <f t="shared" si="79"/>
        <v>0.02338857946391715</v>
      </c>
    </row>
    <row r="62" spans="1:29" ht="15">
      <c r="A62" s="247"/>
      <c r="B62" s="1160">
        <v>2015</v>
      </c>
      <c r="C62" s="1161"/>
      <c r="D62" s="1160">
        <v>2016</v>
      </c>
      <c r="E62" s="1161"/>
      <c r="F62" s="1160">
        <v>2017</v>
      </c>
      <c r="G62" s="1161"/>
      <c r="H62" s="1160">
        <v>2018</v>
      </c>
      <c r="I62" s="1162"/>
      <c r="J62" s="1160">
        <v>2019</v>
      </c>
      <c r="K62" s="1162"/>
      <c r="L62" s="1160">
        <v>2020</v>
      </c>
      <c r="M62" s="1161"/>
      <c r="N62" s="1160">
        <v>2021</v>
      </c>
      <c r="O62" s="1162"/>
      <c r="P62" s="1160">
        <v>2022</v>
      </c>
      <c r="Q62" s="1161"/>
      <c r="R62" s="1160">
        <v>2023</v>
      </c>
      <c r="S62" s="1161"/>
      <c r="T62" s="1160">
        <v>2024</v>
      </c>
      <c r="U62" s="1162"/>
      <c r="V62" s="1160">
        <v>2025</v>
      </c>
      <c r="W62" s="1161"/>
      <c r="X62" s="1160">
        <v>2026</v>
      </c>
      <c r="Y62" s="1161"/>
      <c r="Z62" s="1160">
        <v>2027</v>
      </c>
      <c r="AA62" s="1162"/>
      <c r="AB62" s="1160">
        <v>2028</v>
      </c>
      <c r="AC62" s="1161"/>
    </row>
    <row r="63" spans="1:29" ht="15">
      <c r="A63" s="407"/>
      <c r="B63" s="412" t="s">
        <v>258</v>
      </c>
      <c r="C63" s="413" t="s">
        <v>259</v>
      </c>
      <c r="D63" s="412" t="s">
        <v>258</v>
      </c>
      <c r="E63" s="414" t="s">
        <v>259</v>
      </c>
      <c r="F63" s="412" t="s">
        <v>258</v>
      </c>
      <c r="G63" s="413" t="s">
        <v>259</v>
      </c>
      <c r="H63" s="414" t="s">
        <v>258</v>
      </c>
      <c r="I63" s="414" t="s">
        <v>259</v>
      </c>
      <c r="J63" s="412" t="s">
        <v>258</v>
      </c>
      <c r="K63" s="413" t="s">
        <v>259</v>
      </c>
      <c r="L63" s="414" t="s">
        <v>258</v>
      </c>
      <c r="M63" s="413" t="s">
        <v>259</v>
      </c>
      <c r="N63" s="414" t="s">
        <v>258</v>
      </c>
      <c r="O63" s="413" t="s">
        <v>259</v>
      </c>
      <c r="P63" s="414" t="s">
        <v>258</v>
      </c>
      <c r="Q63" s="413" t="s">
        <v>259</v>
      </c>
      <c r="R63" s="414" t="s">
        <v>258</v>
      </c>
      <c r="S63" s="413" t="s">
        <v>259</v>
      </c>
      <c r="T63" s="414" t="s">
        <v>258</v>
      </c>
      <c r="U63" s="413" t="s">
        <v>259</v>
      </c>
      <c r="V63" s="414" t="s">
        <v>258</v>
      </c>
      <c r="W63" s="413" t="s">
        <v>259</v>
      </c>
      <c r="X63" s="414" t="s">
        <v>258</v>
      </c>
      <c r="Y63" s="413" t="s">
        <v>259</v>
      </c>
      <c r="Z63" s="414" t="s">
        <v>258</v>
      </c>
      <c r="AA63" s="413" t="s">
        <v>259</v>
      </c>
      <c r="AB63" s="414" t="s">
        <v>258</v>
      </c>
      <c r="AC63" s="413" t="s">
        <v>259</v>
      </c>
    </row>
    <row r="64" spans="1:29" ht="15">
      <c r="A64" s="448" t="s">
        <v>136</v>
      </c>
      <c r="B64" s="408">
        <f aca="true" t="shared" si="80" ref="B64:B69">B47</f>
        <v>0</v>
      </c>
      <c r="C64" s="409">
        <f aca="true" t="shared" si="81" ref="C64:C69">B55</f>
        <v>0</v>
      </c>
      <c r="D64" s="410">
        <f aca="true" t="shared" si="82" ref="D64:D69">C47</f>
        <v>0</v>
      </c>
      <c r="E64" s="409">
        <f aca="true" t="shared" si="83" ref="E64:E69">C55</f>
        <v>0</v>
      </c>
      <c r="F64" s="410">
        <f aca="true" t="shared" si="84" ref="F64:F69">D47</f>
        <v>7.110428350904736E-05</v>
      </c>
      <c r="G64" s="409">
        <f aca="true" t="shared" si="85" ref="G64:G69">D55</f>
        <v>0.00019553677964988023</v>
      </c>
      <c r="H64" s="410">
        <f aca="true" t="shared" si="86" ref="H64:H69">E47</f>
        <v>0.00012295061080643658</v>
      </c>
      <c r="I64" s="409">
        <f aca="true" t="shared" si="87" ref="I64:I69">E55</f>
        <v>0.00033811417971770056</v>
      </c>
      <c r="J64" s="410">
        <f aca="true" t="shared" si="88" ref="J64:J69">F47</f>
        <v>0.0001590473927033908</v>
      </c>
      <c r="K64" s="409">
        <f aca="true" t="shared" si="89" ref="K64:K69">F55</f>
        <v>0.00043738032993432467</v>
      </c>
      <c r="L64" s="410">
        <f aca="true" t="shared" si="90" ref="L64:L69">G47</f>
        <v>0.0001824094702125688</v>
      </c>
      <c r="M64" s="409">
        <f aca="true" t="shared" si="91" ref="M64:M69">G55</f>
        <v>0.0005016260430845643</v>
      </c>
      <c r="N64" s="410">
        <f aca="true" t="shared" si="92" ref="N64:N69">H47</f>
        <v>0.0001618318436329511</v>
      </c>
      <c r="O64" s="409">
        <f aca="true" t="shared" si="93" ref="O64:O69">H55</f>
        <v>0.0004450375699906155</v>
      </c>
      <c r="P64" s="410">
        <f aca="true" t="shared" si="94" ref="P64:P69">I47</f>
        <v>0.00014290490318784153</v>
      </c>
      <c r="Q64" s="409">
        <f aca="true" t="shared" si="95" ref="Q64:Q69">I55</f>
        <v>0.0003929884837665642</v>
      </c>
      <c r="R64" s="410">
        <f>J47</f>
        <v>0.0001255161282229677</v>
      </c>
      <c r="S64" s="409">
        <f>J55</f>
        <v>0.0003451693526131612</v>
      </c>
      <c r="T64" s="410">
        <f>K47</f>
        <v>0.00010954674845650752</v>
      </c>
      <c r="U64" s="409">
        <f>K55</f>
        <v>0.00030125355825539566</v>
      </c>
      <c r="V64" s="410">
        <f>L47</f>
        <v>9.490536371680148E-05</v>
      </c>
      <c r="W64" s="409">
        <f>L55</f>
        <v>0.0002609897502212041</v>
      </c>
      <c r="X64" s="410">
        <f>M47</f>
        <v>8.153089257795362E-05</v>
      </c>
      <c r="Y64" s="409">
        <f>M55</f>
        <v>0.00022420995458937243</v>
      </c>
      <c r="Z64" s="410">
        <f>N47</f>
        <v>6.934499430135415E-05</v>
      </c>
      <c r="AA64" s="409">
        <f>N55</f>
        <v>0.0001906987343287239</v>
      </c>
      <c r="AB64" s="410">
        <f>O47</f>
        <v>5.828252830002873E-05</v>
      </c>
      <c r="AC64" s="409">
        <f>O55</f>
        <v>0.00016027695282507898</v>
      </c>
    </row>
    <row r="65" spans="1:29" ht="15">
      <c r="A65" s="40" t="s">
        <v>391</v>
      </c>
      <c r="B65" s="378">
        <f t="shared" si="80"/>
        <v>0</v>
      </c>
      <c r="C65" s="245">
        <f t="shared" si="81"/>
        <v>0</v>
      </c>
      <c r="D65" s="244">
        <f t="shared" si="82"/>
        <v>0</v>
      </c>
      <c r="E65" s="245">
        <f t="shared" si="83"/>
        <v>0</v>
      </c>
      <c r="F65" s="244">
        <f t="shared" si="84"/>
        <v>0.0017362060326784365</v>
      </c>
      <c r="G65" s="245">
        <f t="shared" si="85"/>
        <v>0.0022437834106724865</v>
      </c>
      <c r="H65" s="244">
        <f t="shared" si="86"/>
        <v>0.0025419056483176796</v>
      </c>
      <c r="I65" s="245">
        <f t="shared" si="87"/>
        <v>0.0030310263863353422</v>
      </c>
      <c r="J65" s="244">
        <f t="shared" si="88"/>
        <v>0.003306256548529787</v>
      </c>
      <c r="K65" s="245">
        <f t="shared" si="89"/>
        <v>0.0037761470694306844</v>
      </c>
      <c r="L65" s="244">
        <f t="shared" si="90"/>
        <v>0.004004825244434624</v>
      </c>
      <c r="M65" s="245">
        <f t="shared" si="91"/>
        <v>0.004455159990604532</v>
      </c>
      <c r="N65" s="244">
        <f t="shared" si="92"/>
        <v>0.004002767999035626</v>
      </c>
      <c r="O65" s="245">
        <f t="shared" si="93"/>
        <v>0.00444826701297991</v>
      </c>
      <c r="P65" s="244">
        <f t="shared" si="94"/>
        <v>0.0047460956939716446</v>
      </c>
      <c r="Q65" s="245">
        <f t="shared" si="95"/>
        <v>0.005273994571636555</v>
      </c>
      <c r="R65" s="244">
        <f aca="true" t="shared" si="96" ref="R65:R69">J48</f>
        <v>0.004667136868027205</v>
      </c>
      <c r="S65" s="245">
        <f aca="true" t="shared" si="97" ref="S65:S69">J56</f>
        <v>0.005164346190355786</v>
      </c>
      <c r="T65" s="244">
        <f aca="true" t="shared" si="98" ref="T65:T69">K48</f>
        <v>0.004589738722860396</v>
      </c>
      <c r="U65" s="245">
        <f aca="true" t="shared" si="99" ref="U65:U69">K56</f>
        <v>0.005057852204339191</v>
      </c>
      <c r="V65" s="244">
        <f aca="true" t="shared" si="100" ref="V65:V69">L48</f>
        <v>0.0045133911443362845</v>
      </c>
      <c r="W65" s="245">
        <f aca="true" t="shared" si="101" ref="W65:W69">L56</f>
        <v>0.004953954640790836</v>
      </c>
      <c r="X65" s="244">
        <f aca="true" t="shared" si="102" ref="X65:X69">M48</f>
        <v>0.004439183136002326</v>
      </c>
      <c r="Y65" s="245">
        <f aca="true" t="shared" si="103" ref="Y65:Y69">M56</f>
        <v>0.004853648251577058</v>
      </c>
      <c r="Z65" s="244">
        <f aca="true" t="shared" si="104" ref="Z65:Z69">N48</f>
        <v>0.0050303893958470606</v>
      </c>
      <c r="AA65" s="245">
        <f aca="true" t="shared" si="105" ref="AA65:AA69">N56</f>
        <v>0.005504905748119484</v>
      </c>
      <c r="AB65" s="244">
        <f aca="true" t="shared" si="106" ref="AB65:AB69">O48</f>
        <v>0.0049215692767007576</v>
      </c>
      <c r="AC65" s="245">
        <f aca="true" t="shared" si="107" ref="AC65:AC68">O56</f>
        <v>0.005367726777875257</v>
      </c>
    </row>
    <row r="66" spans="1:29" ht="15">
      <c r="A66" s="40" t="s">
        <v>392</v>
      </c>
      <c r="B66" s="378">
        <f t="shared" si="80"/>
        <v>0</v>
      </c>
      <c r="C66" s="245">
        <f t="shared" si="81"/>
        <v>0</v>
      </c>
      <c r="D66" s="244">
        <f t="shared" si="82"/>
        <v>0</v>
      </c>
      <c r="E66" s="245">
        <f t="shared" si="83"/>
        <v>0</v>
      </c>
      <c r="F66" s="244">
        <f t="shared" si="84"/>
        <v>0.00024220741989777406</v>
      </c>
      <c r="G66" s="245">
        <f t="shared" si="85"/>
        <v>0.000655121700666284</v>
      </c>
      <c r="H66" s="244">
        <f t="shared" si="86"/>
        <v>0.0004926208587121661</v>
      </c>
      <c r="I66" s="245">
        <f t="shared" si="87"/>
        <v>0.0012536366761915193</v>
      </c>
      <c r="J66" s="244">
        <f t="shared" si="88"/>
        <v>0.0006963225171537323</v>
      </c>
      <c r="K66" s="245">
        <f t="shared" si="89"/>
        <v>0.00181201014061357</v>
      </c>
      <c r="L66" s="244">
        <f t="shared" si="90"/>
        <v>0.0008737948528513369</v>
      </c>
      <c r="M66" s="245">
        <f t="shared" si="91"/>
        <v>0.0023225241014558735</v>
      </c>
      <c r="N66" s="244">
        <f t="shared" si="92"/>
        <v>0.0008520990210716362</v>
      </c>
      <c r="O66" s="245">
        <f t="shared" si="93"/>
        <v>0.002314269731643705</v>
      </c>
      <c r="P66" s="244">
        <f t="shared" si="94"/>
        <v>0.0008464719093201302</v>
      </c>
      <c r="Q66" s="245">
        <f t="shared" si="95"/>
        <v>0.0023229211881889366</v>
      </c>
      <c r="R66" s="244">
        <f t="shared" si="96"/>
        <v>0.0022226501102593195</v>
      </c>
      <c r="S66" s="245">
        <f t="shared" si="97"/>
        <v>0.004645607894634448</v>
      </c>
      <c r="T66" s="244">
        <f t="shared" si="98"/>
        <v>0.003656449040843335</v>
      </c>
      <c r="U66" s="245">
        <f t="shared" si="99"/>
        <v>0.0070648349645094696</v>
      </c>
      <c r="V66" s="244">
        <f t="shared" si="100"/>
        <v>0.0051495756214773</v>
      </c>
      <c r="W66" s="245">
        <f t="shared" si="101"/>
        <v>0.009583665539197133</v>
      </c>
      <c r="X66" s="244">
        <f t="shared" si="102"/>
        <v>0.006703656453213616</v>
      </c>
      <c r="Y66" s="245">
        <f t="shared" si="103"/>
        <v>0.012204708471508383</v>
      </c>
      <c r="Z66" s="244">
        <f t="shared" si="104"/>
        <v>0.00682048727698547</v>
      </c>
      <c r="AA66" s="245">
        <f t="shared" si="105"/>
        <v>0.012422109715863357</v>
      </c>
      <c r="AB66" s="244">
        <f t="shared" si="106"/>
        <v>0.006926631517522033</v>
      </c>
      <c r="AC66" s="245">
        <f t="shared" si="107"/>
        <v>0.012631849705414262</v>
      </c>
    </row>
    <row r="67" spans="1:29" ht="15">
      <c r="A67" s="40" t="s">
        <v>393</v>
      </c>
      <c r="B67" s="378">
        <f t="shared" si="80"/>
        <v>0</v>
      </c>
      <c r="C67" s="245">
        <f t="shared" si="81"/>
        <v>0</v>
      </c>
      <c r="D67" s="244">
        <f t="shared" si="82"/>
        <v>0</v>
      </c>
      <c r="E67" s="245">
        <f t="shared" si="83"/>
        <v>0</v>
      </c>
      <c r="F67" s="244">
        <f t="shared" si="84"/>
        <v>0.0002386938504943291</v>
      </c>
      <c r="G67" s="245">
        <f t="shared" si="85"/>
        <v>0.004146743497276688</v>
      </c>
      <c r="H67" s="244">
        <f t="shared" si="86"/>
        <v>0.0002237416937852545</v>
      </c>
      <c r="I67" s="245">
        <f t="shared" si="87"/>
        <v>0.003924371985052695</v>
      </c>
      <c r="J67" s="244">
        <f t="shared" si="88"/>
        <v>0.0002098145144976252</v>
      </c>
      <c r="K67" s="245">
        <f t="shared" si="89"/>
        <v>0.0037157602300509057</v>
      </c>
      <c r="L67" s="244">
        <f t="shared" si="90"/>
        <v>0.0001968780340242089</v>
      </c>
      <c r="M67" s="245">
        <f t="shared" si="91"/>
        <v>0.0035207119160542387</v>
      </c>
      <c r="N67" s="244">
        <f t="shared" si="92"/>
        <v>0.00019127041108161984</v>
      </c>
      <c r="O67" s="245">
        <f t="shared" si="93"/>
        <v>0.0034540993703730764</v>
      </c>
      <c r="P67" s="244">
        <f t="shared" si="94"/>
        <v>0.00028370347148138795</v>
      </c>
      <c r="Q67" s="245">
        <f t="shared" si="95"/>
        <v>0.004049134788901335</v>
      </c>
      <c r="R67" s="244">
        <f t="shared" si="96"/>
        <v>0.0002751373499368907</v>
      </c>
      <c r="S67" s="245">
        <f t="shared" si="97"/>
        <v>0.003965482519013942</v>
      </c>
      <c r="T67" s="244">
        <f t="shared" si="98"/>
        <v>0.0002666457678105696</v>
      </c>
      <c r="U67" s="245">
        <f t="shared" si="99"/>
        <v>0.003881188862417956</v>
      </c>
      <c r="V67" s="244">
        <f t="shared" si="100"/>
        <v>0.00025841152508586075</v>
      </c>
      <c r="W67" s="245">
        <f t="shared" si="101"/>
        <v>0.0037989263645805274</v>
      </c>
      <c r="X67" s="244">
        <f t="shared" si="102"/>
        <v>0.0002504364864547354</v>
      </c>
      <c r="Y67" s="245">
        <f t="shared" si="103"/>
        <v>0.0037187886071943185</v>
      </c>
      <c r="Z67" s="244">
        <f t="shared" si="104"/>
        <v>0.0003379338588371115</v>
      </c>
      <c r="AA67" s="245">
        <f t="shared" si="105"/>
        <v>0.004313618172849582</v>
      </c>
      <c r="AB67" s="244">
        <f t="shared" si="106"/>
        <v>0.0003269244470896268</v>
      </c>
      <c r="AC67" s="245">
        <f t="shared" si="107"/>
        <v>0.004215303560094248</v>
      </c>
    </row>
    <row r="68" spans="1:29" ht="15">
      <c r="A68" s="449" t="s">
        <v>394</v>
      </c>
      <c r="B68" s="378">
        <f t="shared" si="80"/>
        <v>0</v>
      </c>
      <c r="C68" s="245">
        <f t="shared" si="81"/>
        <v>0</v>
      </c>
      <c r="D68" s="244">
        <f t="shared" si="82"/>
        <v>0</v>
      </c>
      <c r="E68" s="245">
        <f t="shared" si="83"/>
        <v>0</v>
      </c>
      <c r="F68" s="244">
        <f t="shared" si="84"/>
        <v>0.0001618291004674748</v>
      </c>
      <c r="G68" s="245">
        <f t="shared" si="85"/>
        <v>0.0003350216703059237</v>
      </c>
      <c r="H68" s="244">
        <f t="shared" si="86"/>
        <v>0.00029801178194747654</v>
      </c>
      <c r="I68" s="245">
        <f t="shared" si="87"/>
        <v>0.0006180668420040341</v>
      </c>
      <c r="J68" s="244">
        <f t="shared" si="88"/>
        <v>0.00041193211599645447</v>
      </c>
      <c r="K68" s="245">
        <f t="shared" si="89"/>
        <v>0.000855807916269959</v>
      </c>
      <c r="L68" s="244">
        <f t="shared" si="90"/>
        <v>0.000506659704628643</v>
      </c>
      <c r="M68" s="245">
        <f t="shared" si="91"/>
        <v>0.0010543530614886619</v>
      </c>
      <c r="N68" s="244">
        <f t="shared" si="92"/>
        <v>0.00048404906636404475</v>
      </c>
      <c r="O68" s="245">
        <f t="shared" si="93"/>
        <v>0.0010089090419652367</v>
      </c>
      <c r="P68" s="244">
        <f t="shared" si="94"/>
        <v>0.000543846322178837</v>
      </c>
      <c r="Q68" s="245">
        <f t="shared" si="95"/>
        <v>0.001135302691009975</v>
      </c>
      <c r="R68" s="244">
        <f t="shared" si="96"/>
        <v>0.0005194103709180892</v>
      </c>
      <c r="S68" s="245">
        <f t="shared" si="97"/>
        <v>0.0010859242361426814</v>
      </c>
      <c r="T68" s="244">
        <f t="shared" si="98"/>
        <v>0.0004959449627762414</v>
      </c>
      <c r="U68" s="245">
        <f t="shared" si="99"/>
        <v>0.0010383805325672514</v>
      </c>
      <c r="V68" s="244">
        <f t="shared" si="100"/>
        <v>0.00047344519220963326</v>
      </c>
      <c r="W68" s="245">
        <f t="shared" si="101"/>
        <v>0.0009926714777971678</v>
      </c>
      <c r="X68" s="244">
        <f t="shared" si="102"/>
        <v>0.000451846911622822</v>
      </c>
      <c r="Y68" s="245">
        <f t="shared" si="103"/>
        <v>0.0009486891377163672</v>
      </c>
      <c r="Z68" s="244">
        <f t="shared" si="104"/>
        <v>0.0005046627886319773</v>
      </c>
      <c r="AA68" s="245">
        <f t="shared" si="105"/>
        <v>0.0010609971811005473</v>
      </c>
      <c r="AB68" s="244">
        <f t="shared" si="106"/>
        <v>0.00048140639617144036</v>
      </c>
      <c r="AC68" s="245">
        <f t="shared" si="107"/>
        <v>0.0010134224677083028</v>
      </c>
    </row>
    <row r="69" spans="1:29" ht="15">
      <c r="A69" s="247"/>
      <c r="B69" s="411">
        <f t="shared" si="80"/>
        <v>0</v>
      </c>
      <c r="C69" s="411">
        <f t="shared" si="81"/>
        <v>0</v>
      </c>
      <c r="D69" s="411">
        <f t="shared" si="82"/>
        <v>0</v>
      </c>
      <c r="E69" s="411">
        <f t="shared" si="83"/>
        <v>0</v>
      </c>
      <c r="F69" s="411">
        <f t="shared" si="84"/>
        <v>0.0024500406870470617</v>
      </c>
      <c r="G69" s="411">
        <f t="shared" si="85"/>
        <v>0.007576207058571263</v>
      </c>
      <c r="H69" s="411">
        <f t="shared" si="86"/>
        <v>0.003679230593569013</v>
      </c>
      <c r="I69" s="411">
        <f t="shared" si="87"/>
        <v>0.009165216069301292</v>
      </c>
      <c r="J69" s="411">
        <f t="shared" si="88"/>
        <v>0.00478337308888099</v>
      </c>
      <c r="K69" s="411">
        <f t="shared" si="89"/>
        <v>0.010597105686299443</v>
      </c>
      <c r="L69" s="411">
        <f t="shared" si="90"/>
        <v>0.005764567306151382</v>
      </c>
      <c r="M69" s="411">
        <f t="shared" si="91"/>
        <v>0.01185437511268787</v>
      </c>
      <c r="N69" s="411">
        <f t="shared" si="92"/>
        <v>0.005692018341185877</v>
      </c>
      <c r="O69" s="411">
        <f t="shared" si="93"/>
        <v>0.011670582726952544</v>
      </c>
      <c r="P69" s="411">
        <f t="shared" si="94"/>
        <v>0.006563022300139841</v>
      </c>
      <c r="Q69" s="411">
        <f t="shared" si="95"/>
        <v>0.013174341723503366</v>
      </c>
      <c r="R69" s="411">
        <f t="shared" si="96"/>
        <v>0.007809850827364473</v>
      </c>
      <c r="S69" s="411">
        <f t="shared" si="97"/>
        <v>0.015206530192760019</v>
      </c>
      <c r="T69" s="411">
        <f t="shared" si="98"/>
        <v>0.009118325242747048</v>
      </c>
      <c r="U69" s="411">
        <f t="shared" si="99"/>
        <v>0.017343510122089265</v>
      </c>
      <c r="V69" s="411">
        <f t="shared" si="100"/>
        <v>0.01048972884682588</v>
      </c>
      <c r="W69" s="411">
        <f t="shared" si="101"/>
        <v>0.019590207772586868</v>
      </c>
      <c r="X69" s="411">
        <f t="shared" si="102"/>
        <v>0.01192665387987145</v>
      </c>
      <c r="Y69" s="411">
        <f t="shared" si="103"/>
        <v>0.0219500444225855</v>
      </c>
      <c r="Z69" s="411">
        <f t="shared" si="104"/>
        <v>0.012762818314602973</v>
      </c>
      <c r="AA69" s="411">
        <f t="shared" si="105"/>
        <v>0.023492329552261697</v>
      </c>
      <c r="AB69" s="411">
        <f t="shared" si="106"/>
        <v>0.012714814165783886</v>
      </c>
      <c r="AC69" s="411">
        <f>O60</f>
        <v>0.02338857946391715</v>
      </c>
    </row>
    <row r="70" ht="14.25"/>
    <row r="97" ht="14.25"/>
    <row r="98" spans="1:15" ht="15.75" customHeight="1">
      <c r="A98" s="229" t="s">
        <v>400</v>
      </c>
      <c r="B98" s="230">
        <v>2015</v>
      </c>
      <c r="C98" s="230">
        <v>2016</v>
      </c>
      <c r="D98" s="230">
        <v>2017</v>
      </c>
      <c r="E98" s="230">
        <v>2018</v>
      </c>
      <c r="F98" s="230">
        <v>2019</v>
      </c>
      <c r="G98" s="230">
        <v>2020</v>
      </c>
      <c r="H98" s="230">
        <v>2021</v>
      </c>
      <c r="I98" s="616">
        <v>2022</v>
      </c>
      <c r="J98" s="1048"/>
      <c r="K98" s="1048"/>
      <c r="L98" s="1048"/>
      <c r="M98" s="1048"/>
      <c r="N98" s="1048"/>
      <c r="O98" s="1048"/>
    </row>
    <row r="99" spans="1:15" ht="18.75" customHeight="1">
      <c r="A99" s="615" t="s">
        <v>136</v>
      </c>
      <c r="B99" s="725"/>
      <c r="C99" s="726"/>
      <c r="D99" s="726"/>
      <c r="E99" s="726"/>
      <c r="F99" s="726"/>
      <c r="G99" s="726"/>
      <c r="H99" s="726"/>
      <c r="I99" s="727"/>
      <c r="J99" s="729"/>
      <c r="K99" s="729"/>
      <c r="L99" s="729"/>
      <c r="M99" s="729"/>
      <c r="N99" s="729"/>
      <c r="O99" s="729"/>
    </row>
    <row r="100" spans="1:15" ht="14.25" customHeight="1">
      <c r="A100" s="647" t="str">
        <f>Health!A10</f>
        <v>Scenario 1: Provide a 30% national government subsidy for PhilHealth premiums for the informal sector</v>
      </c>
      <c r="B100" s="235">
        <f>Health!B21</f>
        <v>0</v>
      </c>
      <c r="C100" s="236">
        <f>Health!C21</f>
        <v>0</v>
      </c>
      <c r="D100" s="236">
        <f>Health!D21</f>
        <v>0.00045333210766212095</v>
      </c>
      <c r="E100" s="236">
        <f>Health!E21</f>
        <v>0.0007838832878209784</v>
      </c>
      <c r="F100" s="236">
        <f>Health!F21</f>
        <v>0.0010140217465691634</v>
      </c>
      <c r="G100" s="236">
        <f>Health!G21</f>
        <v>0.0011629688889062903</v>
      </c>
      <c r="H100" s="236">
        <f>Health!H21</f>
        <v>0.0010317742777288185</v>
      </c>
      <c r="I100" s="237">
        <f>Health!I21</f>
        <v>0.0009111037726602287</v>
      </c>
      <c r="J100" s="236"/>
      <c r="K100" s="236"/>
      <c r="L100" s="236"/>
      <c r="M100" s="236"/>
      <c r="N100" s="236"/>
      <c r="O100" s="236"/>
    </row>
    <row r="101" spans="1:15" ht="14.25" customHeight="1">
      <c r="A101" s="238" t="str">
        <f>Health!A23</f>
        <v>Scenario 2: Provide a 50% national government subsidy for PhilHealth premiums for the informal sector</v>
      </c>
      <c r="B101" s="239">
        <f>Health!B34</f>
        <v>0</v>
      </c>
      <c r="C101" s="240">
        <f>Health!C34</f>
        <v>0</v>
      </c>
      <c r="D101" s="240">
        <f>Health!D34</f>
        <v>0.0006799981614931814</v>
      </c>
      <c r="E101" s="240">
        <f>Health!E34</f>
        <v>0.0011758249317314676</v>
      </c>
      <c r="F101" s="240">
        <f>Health!F34</f>
        <v>0.0015210326198537454</v>
      </c>
      <c r="G101" s="240">
        <f>Health!G34</f>
        <v>0.0017444533333594353</v>
      </c>
      <c r="H101" s="240">
        <f>Health!H34</f>
        <v>0.0015476614165932279</v>
      </c>
      <c r="I101" s="241">
        <f>Health!I34</f>
        <v>0.001366655658990343</v>
      </c>
      <c r="J101" s="240"/>
      <c r="K101" s="240"/>
      <c r="L101" s="240"/>
      <c r="M101" s="240"/>
      <c r="N101" s="240"/>
      <c r="O101" s="240"/>
    </row>
    <row r="102" spans="1:15" ht="14.25" customHeight="1">
      <c r="A102" s="647" t="str">
        <f>Health!A36</f>
        <v>Scenario 3: Provide a 100% national government subsidy for PhilHealth premiums for the informal sector</v>
      </c>
      <c r="B102" s="235">
        <f>Health!B47</f>
        <v>0</v>
      </c>
      <c r="C102" s="236">
        <f>Health!C47</f>
        <v>0</v>
      </c>
      <c r="D102" s="236">
        <f>Health!D47</f>
        <v>0.0012466632960708324</v>
      </c>
      <c r="E102" s="236">
        <f>Health!E47</f>
        <v>0.0021556790415076907</v>
      </c>
      <c r="F102" s="236">
        <f>Health!F47</f>
        <v>0.0027885598030651993</v>
      </c>
      <c r="G102" s="236">
        <f>Health!G47</f>
        <v>0.0031981644444922983</v>
      </c>
      <c r="H102" s="236">
        <f>Health!H47</f>
        <v>0.0028373792637542508</v>
      </c>
      <c r="I102" s="237">
        <f>Health!I47</f>
        <v>0.0025055353748156288</v>
      </c>
      <c r="J102" s="236"/>
      <c r="K102" s="236"/>
      <c r="L102" s="236"/>
      <c r="M102" s="236"/>
      <c r="N102" s="236"/>
      <c r="O102" s="236"/>
    </row>
    <row r="103" spans="1:15" ht="20.25" customHeight="1">
      <c r="A103" s="610" t="s">
        <v>137</v>
      </c>
      <c r="B103" s="728"/>
      <c r="C103" s="729"/>
      <c r="D103" s="729"/>
      <c r="E103" s="729"/>
      <c r="F103" s="729"/>
      <c r="G103" s="729"/>
      <c r="H103" s="729"/>
      <c r="I103" s="730"/>
      <c r="J103" s="729"/>
      <c r="K103" s="729"/>
      <c r="L103" s="729"/>
      <c r="M103" s="729"/>
      <c r="N103" s="729"/>
      <c r="O103" s="729"/>
    </row>
    <row r="104" spans="1:15" ht="14.25" customHeight="1">
      <c r="A104" s="234" t="str">
        <f>Children!A11</f>
        <v>Scenario 1: Increase the benefit amounts provided under 4Ps (20% increase)</v>
      </c>
      <c r="B104" s="235">
        <f>Children!B55</f>
        <v>0</v>
      </c>
      <c r="C104" s="236">
        <f>Children!C55</f>
        <v>0</v>
      </c>
      <c r="D104" s="236">
        <f>Children!D55</f>
        <v>0.00534080494627216</v>
      </c>
      <c r="E104" s="236">
        <f>Children!E55</f>
        <v>0.005175619887099165</v>
      </c>
      <c r="F104" s="236">
        <f>Children!F55</f>
        <v>0.005000376837387621</v>
      </c>
      <c r="G104" s="236">
        <f>Children!G55</f>
        <v>0.0048196971847904255</v>
      </c>
      <c r="H104" s="236">
        <f>Children!H55</f>
        <v>0.004796840829343914</v>
      </c>
      <c r="I104" s="237">
        <f>Children!I55</f>
        <v>0.0046320783169982935</v>
      </c>
      <c r="J104" s="236"/>
      <c r="K104" s="236"/>
      <c r="L104" s="236"/>
      <c r="M104" s="236"/>
      <c r="N104" s="236"/>
      <c r="O104" s="236"/>
    </row>
    <row r="105" spans="1:15" ht="14.25" customHeight="1">
      <c r="A105" s="238" t="str">
        <f>Children!A57</f>
        <v>Scenario 2: Increase the benefit amounts by 20% and adjust them to cumulative inflation every 5 years</v>
      </c>
      <c r="B105" s="239">
        <f>Children!B101</f>
        <v>0</v>
      </c>
      <c r="C105" s="240">
        <f>Children!C101</f>
        <v>0</v>
      </c>
      <c r="D105" s="240">
        <f>Children!D101</f>
        <v>0.00534080494627216</v>
      </c>
      <c r="E105" s="240">
        <f>Children!E101</f>
        <v>0.005175619887099165</v>
      </c>
      <c r="F105" s="240">
        <f>Children!F101</f>
        <v>0.005000376837387621</v>
      </c>
      <c r="G105" s="240">
        <f>Children!G101</f>
        <v>0.0048196971847904255</v>
      </c>
      <c r="H105" s="240">
        <f>Children!H101</f>
        <v>0.004796840829343914</v>
      </c>
      <c r="I105" s="241">
        <f>Children!I101</f>
        <v>0.009529916093797355</v>
      </c>
      <c r="J105" s="240"/>
      <c r="K105" s="240"/>
      <c r="L105" s="240"/>
      <c r="M105" s="240"/>
      <c r="N105" s="240"/>
      <c r="O105" s="240"/>
    </row>
    <row r="106" spans="1:15" ht="14.25" customHeight="1">
      <c r="A106" s="234" t="str">
        <f>Children!A103</f>
        <v>Scenario 3: Increase the benefit amounts by 20% and provide the 4Ps education benefit to all qualifying children</v>
      </c>
      <c r="B106" s="235">
        <f>Children!B168</f>
        <v>0</v>
      </c>
      <c r="C106" s="236">
        <f>Children!C168</f>
        <v>0</v>
      </c>
      <c r="D106" s="236">
        <f>Children!D168</f>
        <v>0.008295532130257197</v>
      </c>
      <c r="E106" s="236">
        <f>Children!E168</f>
        <v>0.008037112655498583</v>
      </c>
      <c r="F106" s="236">
        <f>Children!F168</f>
        <v>0.007763192750248549</v>
      </c>
      <c r="G106" s="236">
        <f>Children!G168</f>
        <v>0.007480956882326895</v>
      </c>
      <c r="H106" s="236">
        <f>Children!H168</f>
        <v>0.007443780546695208</v>
      </c>
      <c r="I106" s="237">
        <f>Children!I168</f>
        <v>0.007186453931047555</v>
      </c>
      <c r="J106" s="236"/>
      <c r="K106" s="236"/>
      <c r="L106" s="236"/>
      <c r="M106" s="236"/>
      <c r="N106" s="236"/>
      <c r="O106" s="236"/>
    </row>
    <row r="107" spans="1:15" ht="14.25" customHeight="1">
      <c r="A107" s="238" t="str">
        <f>Children!A170</f>
        <v>Scenario 4: Increase the benefit amounts by 20%, adjusted to cumulative inflation every 5 years, and provide the 4Ps education benefit to all qualifying children</v>
      </c>
      <c r="B107" s="239">
        <f>Children!B235</f>
        <v>0</v>
      </c>
      <c r="C107" s="240">
        <f>Children!C235</f>
        <v>0</v>
      </c>
      <c r="D107" s="240">
        <f>Children!D235</f>
        <v>0.008295532130257197</v>
      </c>
      <c r="E107" s="240">
        <f>Children!E235</f>
        <v>0.008037112655498583</v>
      </c>
      <c r="F107" s="240">
        <f>Children!F235</f>
        <v>0.007763192750248549</v>
      </c>
      <c r="G107" s="240">
        <f>Children!G235</f>
        <v>0.007480956882326895</v>
      </c>
      <c r="H107" s="240">
        <f>Children!H235</f>
        <v>0.007443780546695208</v>
      </c>
      <c r="I107" s="241">
        <f>Children!I235</f>
        <v>0.012692952716038234</v>
      </c>
      <c r="J107" s="240"/>
      <c r="K107" s="240"/>
      <c r="L107" s="240"/>
      <c r="M107" s="240"/>
      <c r="N107" s="240"/>
      <c r="O107" s="240"/>
    </row>
    <row r="108" spans="1:15" ht="14.25" customHeight="1">
      <c r="A108" s="234" t="str">
        <f>Children!A237</f>
        <v>Scenario 5: Provide food or cereal vouchers to 7-24 months old children under 4Ps, amounting to PHP 390 (PHP13*30 days), adjusted to cumulative inflation every five years</v>
      </c>
      <c r="B108" s="235">
        <f>Children!B251</f>
        <v>0</v>
      </c>
      <c r="C108" s="236">
        <f>Children!C251</f>
        <v>0</v>
      </c>
      <c r="D108" s="236">
        <f>Children!D251</f>
        <v>0.00028138056103397423</v>
      </c>
      <c r="E108" s="236">
        <f>Children!E251</f>
        <v>0.00025694291682319676</v>
      </c>
      <c r="F108" s="236">
        <f>Children!F251</f>
        <v>0.00023301569809048612</v>
      </c>
      <c r="G108" s="236">
        <f>Children!G251</f>
        <v>0.00020989221567722805</v>
      </c>
      <c r="H108" s="236">
        <f>Children!H251</f>
        <v>0.00019338152612290483</v>
      </c>
      <c r="I108" s="237">
        <f>Children!I251</f>
        <v>0.00020263277254110084</v>
      </c>
      <c r="J108" s="236"/>
      <c r="K108" s="236"/>
      <c r="L108" s="236"/>
      <c r="M108" s="236"/>
      <c r="N108" s="236"/>
      <c r="O108" s="236"/>
    </row>
    <row r="109" spans="1:15" ht="14.25" customHeight="1">
      <c r="A109" s="238" t="str">
        <f>Children!A254</f>
        <v>Scenario 6: Provide a meal to all children in public schools (K to grade 6) under SFP, for the whole school year (200 days)</v>
      </c>
      <c r="B109" s="239">
        <f>Children!B278</f>
        <v>0</v>
      </c>
      <c r="C109" s="240">
        <f>Children!C278</f>
        <v>0</v>
      </c>
      <c r="D109" s="240">
        <f>Children!D278</f>
        <v>0.0057285413896578895</v>
      </c>
      <c r="E109" s="240">
        <f>Children!E278</f>
        <v>0.011030540813240081</v>
      </c>
      <c r="F109" s="240">
        <f>Children!F278</f>
        <v>0.016078975567956358</v>
      </c>
      <c r="G109" s="240">
        <f>Children!G278</f>
        <v>0.020713446238938876</v>
      </c>
      <c r="H109" s="240">
        <f>Children!H278</f>
        <v>0.020723186431101246</v>
      </c>
      <c r="I109" s="241">
        <f>Children!I278</f>
        <v>0.020729267431208082</v>
      </c>
      <c r="J109" s="240"/>
      <c r="K109" s="240"/>
      <c r="L109" s="240"/>
      <c r="M109" s="240"/>
      <c r="N109" s="240"/>
      <c r="O109" s="240"/>
    </row>
    <row r="110" spans="1:15" s="614" customFormat="1" ht="18" customHeight="1">
      <c r="A110" s="610" t="s">
        <v>138</v>
      </c>
      <c r="B110" s="611"/>
      <c r="C110" s="612"/>
      <c r="D110" s="612"/>
      <c r="E110" s="612"/>
      <c r="F110" s="612"/>
      <c r="G110" s="612"/>
      <c r="H110" s="612"/>
      <c r="I110" s="613"/>
      <c r="J110" s="612"/>
      <c r="K110" s="612"/>
      <c r="L110" s="612"/>
      <c r="M110" s="612"/>
      <c r="N110" s="612"/>
      <c r="O110" s="612"/>
    </row>
    <row r="111" spans="1:15" ht="14.25" customHeight="1">
      <c r="A111" s="234" t="str">
        <f>Working!A11</f>
        <v>Scenario 1: Introduce an employment insurance scheme wherein the national government subsidizes 30% of the contributions</v>
      </c>
      <c r="B111" s="235">
        <f>Working!B34</f>
        <v>0</v>
      </c>
      <c r="C111" s="236">
        <f>Working!C34</f>
        <v>0</v>
      </c>
      <c r="D111" s="236">
        <f>Working!D34</f>
        <v>0.0005201683601776832</v>
      </c>
      <c r="E111" s="236">
        <f>Working!E34</f>
        <v>0.0012849247598576117</v>
      </c>
      <c r="F111" s="236">
        <f>Working!F34</f>
        <v>0.001921787591785129</v>
      </c>
      <c r="G111" s="236">
        <f>Working!G34</f>
        <v>0.002540440430648514</v>
      </c>
      <c r="H111" s="236">
        <f>Working!H34</f>
        <v>0.0026082921389090586</v>
      </c>
      <c r="I111" s="237">
        <f>Working!I34</f>
        <v>0.0026772135692144524</v>
      </c>
      <c r="J111" s="236"/>
      <c r="K111" s="236"/>
      <c r="L111" s="236"/>
      <c r="M111" s="236"/>
      <c r="N111" s="236"/>
      <c r="O111" s="236"/>
    </row>
    <row r="112" spans="1:15" ht="14.25" customHeight="1">
      <c r="A112" s="238" t="str">
        <f>Working!A61</f>
        <v>Scenario 3: Introduce an employment insurance scheme wherein the national government subsidizes 50% of the contributions</v>
      </c>
      <c r="B112" s="239">
        <f>Working!B84</f>
        <v>0</v>
      </c>
      <c r="C112" s="240">
        <f>Working!C84</f>
        <v>0</v>
      </c>
      <c r="D112" s="240">
        <f>Working!D84</f>
        <v>0.002600841800888415</v>
      </c>
      <c r="E112" s="240">
        <f>Working!E84</f>
        <v>0.005139699039430447</v>
      </c>
      <c r="F112" s="240">
        <f>Working!F84</f>
        <v>0.007687150367140516</v>
      </c>
      <c r="G112" s="240">
        <f>Working!G84</f>
        <v>0.010161761722594058</v>
      </c>
      <c r="H112" s="240">
        <f>Working!H84</f>
        <v>0.010433168555636233</v>
      </c>
      <c r="I112" s="241">
        <f>Working!I84</f>
        <v>0.010708854276857806</v>
      </c>
      <c r="J112" s="240"/>
      <c r="K112" s="240"/>
      <c r="L112" s="240"/>
      <c r="M112" s="240"/>
      <c r="N112" s="240"/>
      <c r="O112" s="240"/>
    </row>
    <row r="113" spans="1:15" ht="14.25" customHeight="1">
      <c r="A113" s="757" t="str">
        <f>Working!A87</f>
        <v>Scenario 4: Provide a 30% national government subsidy for SSS premiums for the informal sector</v>
      </c>
      <c r="B113" s="235">
        <f>Working!B99</f>
        <v>0</v>
      </c>
      <c r="C113" s="236">
        <f>Working!C99</f>
        <v>0</v>
      </c>
      <c r="D113" s="236">
        <f>Working!D99</f>
        <v>0.0008278511159220784</v>
      </c>
      <c r="E113" s="236">
        <f>Working!E99</f>
        <v>0.0014957314334299123</v>
      </c>
      <c r="F113" s="236">
        <f>Working!F99</f>
        <v>0.002021714328476831</v>
      </c>
      <c r="G113" s="236">
        <f>Working!G99</f>
        <v>0.002422784286216883</v>
      </c>
      <c r="H113" s="236">
        <f>Working!H99</f>
        <v>0.0022459975736978405</v>
      </c>
      <c r="I113" s="237">
        <f>Working!I99</f>
        <v>0.0020724026882480784</v>
      </c>
      <c r="J113" s="236"/>
      <c r="K113" s="236"/>
      <c r="L113" s="236"/>
      <c r="M113" s="236"/>
      <c r="N113" s="236"/>
      <c r="O113" s="236"/>
    </row>
    <row r="114" spans="1:15" ht="14.25" customHeight="1">
      <c r="A114" s="756" t="str">
        <f>Working!A101</f>
        <v>Scenario 5: Provide a 50% national government subsidy for SSS premiums for the informal sector</v>
      </c>
      <c r="B114" s="239">
        <f>Working!B113</f>
        <v>0</v>
      </c>
      <c r="C114" s="240">
        <f>Working!C113</f>
        <v>0</v>
      </c>
      <c r="D114" s="240">
        <f>Working!D113</f>
        <v>0.0013797518598701309</v>
      </c>
      <c r="E114" s="240">
        <f>Working!E113</f>
        <v>0.002492885722383188</v>
      </c>
      <c r="F114" s="240">
        <f>Working!F113</f>
        <v>0.0033695238807947185</v>
      </c>
      <c r="G114" s="240">
        <f>Working!G113</f>
        <v>0.004037973810361471</v>
      </c>
      <c r="H114" s="240">
        <f>Working!H113</f>
        <v>0.003743329289496401</v>
      </c>
      <c r="I114" s="241">
        <f>Working!I113</f>
        <v>0.003454004480413464</v>
      </c>
      <c r="J114" s="240"/>
      <c r="K114" s="240"/>
      <c r="L114" s="240"/>
      <c r="M114" s="240"/>
      <c r="N114" s="240"/>
      <c r="O114" s="240"/>
    </row>
    <row r="115" spans="1:15" ht="14.25" customHeight="1">
      <c r="A115" s="234" t="str">
        <f>Working!A116</f>
        <v>Scenario 6: Provide a daily allowance at PHP200, indexed on cumulative inflation every 5 years, to low-income people enrolled in TESDA training courses</v>
      </c>
      <c r="B115" s="235">
        <f>Working!B128</f>
        <v>0</v>
      </c>
      <c r="C115" s="236">
        <f>Working!C128</f>
        <v>0</v>
      </c>
      <c r="D115" s="236">
        <f>Working!D128</f>
        <v>0.00019619691614742508</v>
      </c>
      <c r="E115" s="236">
        <f>Working!E128</f>
        <v>0.0003600948436017596</v>
      </c>
      <c r="F115" s="236">
        <f>Working!F128</f>
        <v>0.0004959683723221604</v>
      </c>
      <c r="G115" s="236">
        <f>Working!G128</f>
        <v>0.0006077372949662357</v>
      </c>
      <c r="H115" s="236">
        <f>Working!H128</f>
        <v>0.0005783484646708973</v>
      </c>
      <c r="I115" s="237">
        <f>Working!I128</f>
        <v>0.0006471457348026443</v>
      </c>
      <c r="J115" s="236"/>
      <c r="K115" s="236"/>
      <c r="L115" s="236"/>
      <c r="M115" s="236"/>
      <c r="N115" s="236"/>
      <c r="O115" s="236"/>
    </row>
    <row r="116" spans="1:15" ht="14.25" customHeight="1">
      <c r="A116" s="1165" t="str">
        <f>Working!A131</f>
        <v>Scenario 7: Expand existing schemes to guarantee employment, paid at the minimum wage plus social insurance (SSS &amp; PhilHealth)</v>
      </c>
      <c r="B116" s="239">
        <f>Working!B152</f>
        <v>0</v>
      </c>
      <c r="C116" s="240">
        <f>Working!C152</f>
        <v>0</v>
      </c>
      <c r="D116" s="240">
        <f>Working!D152</f>
        <v>0</v>
      </c>
      <c r="E116" s="240">
        <f>Working!E152</f>
        <v>0</v>
      </c>
      <c r="F116" s="240">
        <f>Working!F152</f>
        <v>0</v>
      </c>
      <c r="G116" s="240">
        <f>Working!G152</f>
        <v>0</v>
      </c>
      <c r="H116" s="240">
        <f>Working!H152</f>
        <v>0</v>
      </c>
      <c r="I116" s="241">
        <f>Working!I152</f>
        <v>0</v>
      </c>
      <c r="J116" s="240"/>
      <c r="K116" s="240"/>
      <c r="L116" s="240"/>
      <c r="M116" s="240"/>
      <c r="N116" s="240"/>
      <c r="O116" s="240"/>
    </row>
    <row r="117" spans="1:15" ht="14.25" customHeight="1">
      <c r="A117" s="1165"/>
      <c r="B117" s="239">
        <f>Working!B169</f>
        <v>0</v>
      </c>
      <c r="C117" s="240">
        <f>Working!C169</f>
        <v>0</v>
      </c>
      <c r="D117" s="240">
        <f>Working!D169</f>
        <v>0</v>
      </c>
      <c r="E117" s="240">
        <f>Working!E169</f>
        <v>0</v>
      </c>
      <c r="F117" s="240">
        <f>Working!F169</f>
        <v>0</v>
      </c>
      <c r="G117" s="240">
        <f>Working!G169</f>
        <v>0</v>
      </c>
      <c r="H117" s="240">
        <f>Working!H169</f>
        <v>0</v>
      </c>
      <c r="I117" s="241">
        <f>Working!I169</f>
        <v>0</v>
      </c>
      <c r="J117" s="240"/>
      <c r="K117" s="240"/>
      <c r="L117" s="240"/>
      <c r="M117" s="240"/>
      <c r="N117" s="240"/>
      <c r="O117" s="240"/>
    </row>
    <row r="118" spans="1:15" ht="14.25" customHeight="1">
      <c r="A118" s="1166" t="str">
        <f>Working!A171</f>
        <v>Scenario 8: Expand existing schemes to guarantee employment, paid at the minimum wage plus social insurance (SSS &amp; PhilHealth)</v>
      </c>
      <c r="B118" s="235">
        <f>Working!B192</f>
        <v>0</v>
      </c>
      <c r="C118" s="236">
        <f>Working!C192</f>
        <v>0</v>
      </c>
      <c r="D118" s="236">
        <f>Working!D192</f>
        <v>0</v>
      </c>
      <c r="E118" s="236">
        <f>Working!E192</f>
        <v>0</v>
      </c>
      <c r="F118" s="236">
        <f>Working!F192</f>
        <v>0</v>
      </c>
      <c r="G118" s="236">
        <f>Working!G192</f>
        <v>0</v>
      </c>
      <c r="H118" s="236">
        <f>Working!H192</f>
        <v>0</v>
      </c>
      <c r="I118" s="237">
        <f>Working!I192</f>
        <v>0</v>
      </c>
      <c r="J118" s="236"/>
      <c r="K118" s="236"/>
      <c r="L118" s="236"/>
      <c r="M118" s="236"/>
      <c r="N118" s="236"/>
      <c r="O118" s="236"/>
    </row>
    <row r="119" spans="1:15" ht="14.25" customHeight="1">
      <c r="A119" s="1166"/>
      <c r="B119" s="235">
        <f>Working!B209</f>
        <v>0</v>
      </c>
      <c r="C119" s="236">
        <f>Working!C209</f>
        <v>0</v>
      </c>
      <c r="D119" s="236">
        <f>Working!D209</f>
        <v>0</v>
      </c>
      <c r="E119" s="236">
        <f>Working!E209</f>
        <v>0</v>
      </c>
      <c r="F119" s="236">
        <f>Working!F209</f>
        <v>0</v>
      </c>
      <c r="G119" s="236">
        <f>Working!G209</f>
        <v>0</v>
      </c>
      <c r="H119" s="236">
        <f>Working!H209</f>
        <v>0</v>
      </c>
      <c r="I119" s="237">
        <f>Working!I209</f>
        <v>0</v>
      </c>
      <c r="J119" s="236"/>
      <c r="K119" s="236"/>
      <c r="L119" s="236"/>
      <c r="M119" s="236"/>
      <c r="N119" s="236"/>
      <c r="O119" s="236"/>
    </row>
    <row r="120" spans="1:15" ht="14.25" customHeight="1">
      <c r="A120" s="1165" t="str">
        <f>Working!A211</f>
        <v>Scenario 9: Expand existing schemes to guarantee employment, paid at the minimum wage plus social insurance (SSS &amp; PhilHealth)</v>
      </c>
      <c r="B120" s="239">
        <f>Working!B232</f>
        <v>0</v>
      </c>
      <c r="C120" s="240">
        <f>Working!C232</f>
        <v>0</v>
      </c>
      <c r="D120" s="240">
        <f>Working!D232</f>
        <v>0</v>
      </c>
      <c r="E120" s="240">
        <f>Working!E232</f>
        <v>0</v>
      </c>
      <c r="F120" s="240">
        <f>Working!F232</f>
        <v>0</v>
      </c>
      <c r="G120" s="240">
        <f>Working!G232</f>
        <v>0</v>
      </c>
      <c r="H120" s="240">
        <f>Working!H232</f>
        <v>0</v>
      </c>
      <c r="I120" s="241">
        <f>Working!I232</f>
        <v>0</v>
      </c>
      <c r="J120" s="240"/>
      <c r="K120" s="240"/>
      <c r="L120" s="240"/>
      <c r="M120" s="240"/>
      <c r="N120" s="240"/>
      <c r="O120" s="240"/>
    </row>
    <row r="121" spans="1:15" ht="14.25" customHeight="1">
      <c r="A121" s="1165"/>
      <c r="B121" s="239">
        <f>Working!B249</f>
        <v>0</v>
      </c>
      <c r="C121" s="240">
        <f>Working!C249</f>
        <v>0</v>
      </c>
      <c r="D121" s="240">
        <f>Working!D249</f>
        <v>0</v>
      </c>
      <c r="E121" s="240">
        <f>Working!E249</f>
        <v>0</v>
      </c>
      <c r="F121" s="240">
        <f>Working!F249</f>
        <v>0</v>
      </c>
      <c r="G121" s="240">
        <f>Working!G249</f>
        <v>0</v>
      </c>
      <c r="H121" s="240">
        <f>Working!H249</f>
        <v>0</v>
      </c>
      <c r="I121" s="241">
        <f>Working!I249</f>
        <v>0</v>
      </c>
      <c r="J121" s="240"/>
      <c r="K121" s="240"/>
      <c r="L121" s="240"/>
      <c r="M121" s="240"/>
      <c r="N121" s="240"/>
      <c r="O121" s="240"/>
    </row>
    <row r="122" spans="1:15" ht="18" customHeight="1">
      <c r="A122" s="612" t="s">
        <v>140</v>
      </c>
      <c r="B122" s="728"/>
      <c r="C122" s="729"/>
      <c r="D122" s="729"/>
      <c r="E122" s="729"/>
      <c r="F122" s="729"/>
      <c r="G122" s="729"/>
      <c r="H122" s="729"/>
      <c r="I122" s="730"/>
      <c r="J122" s="729"/>
      <c r="K122" s="729"/>
      <c r="L122" s="729"/>
      <c r="M122" s="729"/>
      <c r="N122" s="729"/>
      <c r="O122" s="729"/>
    </row>
    <row r="123" spans="1:15" ht="25.5">
      <c r="A123" s="720" t="str">
        <f>Elderly!A10</f>
        <v xml:space="preserve">Scenario 1: Provide a social pension of PHP 750 per month, indexed on cumulative inflation every 5 years, to all poor elderly aged 60 years and above </v>
      </c>
      <c r="B123" s="235">
        <f>Elderly!B26</f>
        <v>0</v>
      </c>
      <c r="C123" s="236">
        <f>Elderly!C26</f>
        <v>0</v>
      </c>
      <c r="D123" s="236">
        <f>Elderly!D26</f>
        <v>0.0015218152970603099</v>
      </c>
      <c r="E123" s="236">
        <f>Elderly!E26</f>
        <v>0.001426486402927558</v>
      </c>
      <c r="F123" s="236">
        <f>Elderly!F26</f>
        <v>0.0013376923496206871</v>
      </c>
      <c r="G123" s="236">
        <f>Elderly!G26</f>
        <v>0.0012552145906260764</v>
      </c>
      <c r="H123" s="236">
        <f>Elderly!H26</f>
        <v>0.0012194626583642892</v>
      </c>
      <c r="I123" s="237">
        <f>Elderly!I26</f>
        <v>0.00180877840730022</v>
      </c>
      <c r="J123" s="236"/>
      <c r="K123" s="236"/>
      <c r="L123" s="236"/>
      <c r="M123" s="236"/>
      <c r="N123" s="236"/>
      <c r="O123" s="236"/>
    </row>
    <row r="124" spans="1:15" ht="14.25" customHeight="1">
      <c r="A124" s="238" t="str">
        <f>Elderly!A28</f>
        <v>Scenario 2: Provide a social pension of PHP 1,000 per month, indexed on cumulative inflation every 5 years, to all poor elderly aged 60 years and above</v>
      </c>
      <c r="B124" s="239">
        <f>Elderly!B44</f>
        <v>0</v>
      </c>
      <c r="C124" s="240">
        <f>Elderly!C44</f>
        <v>0</v>
      </c>
      <c r="D124" s="240">
        <f>Elderly!D44</f>
        <v>0.0030436305941206197</v>
      </c>
      <c r="E124" s="240">
        <f>Elderly!E44</f>
        <v>0.002852972805855116</v>
      </c>
      <c r="F124" s="240">
        <f>Elderly!F44</f>
        <v>0.0026753846992413743</v>
      </c>
      <c r="G124" s="240">
        <f>Elderly!G44</f>
        <v>0.002510429181252153</v>
      </c>
      <c r="H124" s="240">
        <f>Elderly!H44</f>
        <v>0.0024389253167285785</v>
      </c>
      <c r="I124" s="241">
        <f>Elderly!I44</f>
        <v>0.003200520298595784</v>
      </c>
      <c r="J124" s="240"/>
      <c r="K124" s="240"/>
      <c r="L124" s="240"/>
      <c r="M124" s="240"/>
      <c r="N124" s="240"/>
      <c r="O124" s="240"/>
    </row>
    <row r="125" spans="1:15" ht="14.25" customHeight="1">
      <c r="A125" s="1164" t="str">
        <f>Elderly!A46</f>
        <v>Scenario 3: Provide a means-tested social pension of PHP 750 per month, indexed on cumulative inflation every 5 years, to all poor elderly aged 60+ years, and a universal pension to all elderly aged a) 80+ years or b) 70+ years</v>
      </c>
      <c r="B125" s="235">
        <f>Elderly!B77</f>
        <v>0</v>
      </c>
      <c r="C125" s="236">
        <f>Elderly!C77</f>
        <v>0</v>
      </c>
      <c r="D125" s="236">
        <f>Elderly!D77</f>
        <v>0.003974793819117709</v>
      </c>
      <c r="E125" s="236">
        <f>Elderly!E77</f>
        <v>0.0037543503099054156</v>
      </c>
      <c r="F125" s="236">
        <f>Elderly!F77</f>
        <v>0.0034957335338364802</v>
      </c>
      <c r="G125" s="236">
        <f>Elderly!G77</f>
        <v>0.003220473359583042</v>
      </c>
      <c r="H125" s="236">
        <f>Elderly!H77</f>
        <v>0.0031630539507998866</v>
      </c>
      <c r="I125" s="237">
        <f>Elderly!I77</f>
        <v>0.004012537514454266</v>
      </c>
      <c r="J125" s="236"/>
      <c r="K125" s="236"/>
      <c r="L125" s="236"/>
      <c r="M125" s="236"/>
      <c r="N125" s="236"/>
      <c r="O125" s="236"/>
    </row>
    <row r="126" spans="1:15" ht="14.25" customHeight="1">
      <c r="A126" s="1164"/>
      <c r="B126" s="235">
        <f>Elderly!B109</f>
        <v>0</v>
      </c>
      <c r="C126" s="236">
        <f>Elderly!C109</f>
        <v>0</v>
      </c>
      <c r="D126" s="236">
        <f>Elderly!D109</f>
        <v>0.0116506280629341</v>
      </c>
      <c r="E126" s="236">
        <f>Elderly!E109</f>
        <v>0.010998832882684615</v>
      </c>
      <c r="F126" s="236">
        <f>Elderly!F109</f>
        <v>0.01037389338669546</v>
      </c>
      <c r="G126" s="236">
        <f>Elderly!G109</f>
        <v>0.00978155501734048</v>
      </c>
      <c r="H126" s="236">
        <f>Elderly!H109</f>
        <v>0.00962272313692537</v>
      </c>
      <c r="I126" s="237">
        <f>Elderly!I109</f>
        <v>0.011380385958927581</v>
      </c>
      <c r="J126" s="236"/>
      <c r="K126" s="236"/>
      <c r="L126" s="236"/>
      <c r="M126" s="236"/>
      <c r="N126" s="236"/>
      <c r="O126" s="236"/>
    </row>
    <row r="127" spans="1:15" ht="14.25" customHeight="1">
      <c r="A127" s="238" t="str">
        <f>Elderly!A111</f>
        <v>Scenario 4: Provide a social pension of PHP 750 per month, indexed on cumulative inflation every 5 years, and extend coverage to all senior citizens aged 60 years and above, not receiving any form of contributory pension</v>
      </c>
      <c r="B127" s="239">
        <f>Elderly!B129</f>
        <v>0</v>
      </c>
      <c r="C127" s="240">
        <f>Elderly!C129</f>
        <v>0</v>
      </c>
      <c r="D127" s="240">
        <f>Elderly!D129</f>
        <v>0.019038010074980443</v>
      </c>
      <c r="E127" s="240">
        <f>Elderly!E129</f>
        <v>0.018024212558274813</v>
      </c>
      <c r="F127" s="240">
        <f>Elderly!F129</f>
        <v>0.01707281570957279</v>
      </c>
      <c r="G127" s="240">
        <f>Elderly!G129</f>
        <v>0.016182994321247778</v>
      </c>
      <c r="H127" s="240">
        <f>Elderly!H129</f>
        <v>0.015883043544516463</v>
      </c>
      <c r="I127" s="241">
        <f>Elderly!I129</f>
        <v>0.018747145314427675</v>
      </c>
      <c r="J127" s="240"/>
      <c r="K127" s="240"/>
      <c r="L127" s="240"/>
      <c r="M127" s="240"/>
      <c r="N127" s="240"/>
      <c r="O127" s="240"/>
    </row>
    <row r="128" spans="1:15" ht="14.25" customHeight="1">
      <c r="A128" s="720" t="str">
        <f>Elderly!A131</f>
        <v>Scenario 5: Provide a social pension of PHP 1,000 per month, indexed on cumulative inflation every 5 years, and extend coverage to all senior citizens aged 60 years and above, not receiving any form of contributory pension</v>
      </c>
      <c r="B128" s="235">
        <f>Elderly!B148</f>
        <v>0</v>
      </c>
      <c r="C128" s="236">
        <f>Elderly!C148</f>
        <v>0</v>
      </c>
      <c r="D128" s="236">
        <f>Elderly!D148</f>
        <v>0.004146743497276688</v>
      </c>
      <c r="E128" s="236">
        <f>Elderly!E148</f>
        <v>0.003924371985052695</v>
      </c>
      <c r="F128" s="236">
        <f>Elderly!F148</f>
        <v>0.0037157602300509057</v>
      </c>
      <c r="G128" s="236">
        <f>Elderly!G148</f>
        <v>0.0035207119160542387</v>
      </c>
      <c r="H128" s="236">
        <f>Elderly!H148</f>
        <v>0.0034540993703730764</v>
      </c>
      <c r="I128" s="237">
        <f>Elderly!I148</f>
        <v>0.004049134788901335</v>
      </c>
      <c r="J128" s="236"/>
      <c r="K128" s="236"/>
      <c r="L128" s="236"/>
      <c r="M128" s="236"/>
      <c r="N128" s="236"/>
      <c r="O128" s="236"/>
    </row>
    <row r="129" spans="1:15" ht="14.25" customHeight="1">
      <c r="A129" s="238" t="str">
        <f>Elderly!A151</f>
        <v>Scenario 6: Provide PHP 750, indexed on cumulative inflation every 5 years, and extend coverage to all senior citizens aged 60 years and above for universal coverage</v>
      </c>
      <c r="B129" s="239">
        <f>Elderly!B168</f>
        <v>0</v>
      </c>
      <c r="C129" s="240">
        <f>Elderly!C168</f>
        <v>0</v>
      </c>
      <c r="D129" s="240">
        <f>Elderly!D168</f>
        <v>0.026164246666077334</v>
      </c>
      <c r="E129" s="240">
        <f>Elderly!E168</f>
        <v>0.024761437450171793</v>
      </c>
      <c r="F129" s="240">
        <f>Elderly!F168</f>
        <v>0.023445418112515843</v>
      </c>
      <c r="G129" s="240">
        <f>Elderly!G168</f>
        <v>0.022214952793093056</v>
      </c>
      <c r="H129" s="240">
        <f>Elderly!H168</f>
        <v>0.0217948722248715</v>
      </c>
      <c r="I129" s="241">
        <f>Elderly!I168</f>
        <v>0.025554192748131557</v>
      </c>
      <c r="J129" s="240"/>
      <c r="K129" s="240"/>
      <c r="L129" s="240"/>
      <c r="M129" s="240"/>
      <c r="N129" s="240"/>
      <c r="O129" s="240"/>
    </row>
    <row r="130" spans="1:15" s="614" customFormat="1" ht="18" customHeight="1">
      <c r="A130" s="610" t="s">
        <v>329</v>
      </c>
      <c r="B130" s="611"/>
      <c r="C130" s="612"/>
      <c r="D130" s="612"/>
      <c r="E130" s="612"/>
      <c r="F130" s="612"/>
      <c r="G130" s="612"/>
      <c r="H130" s="612"/>
      <c r="I130" s="613"/>
      <c r="J130" s="612"/>
      <c r="K130" s="612"/>
      <c r="L130" s="612"/>
      <c r="M130" s="612"/>
      <c r="N130" s="612"/>
      <c r="O130" s="612"/>
    </row>
    <row r="131" spans="1:15" ht="14.25" customHeight="1">
      <c r="A131" s="234" t="str">
        <f>'Cross-Cutting'!A10:I10</f>
        <v>Scenario 1: Provide a disability allowance of PHP 750 per month, indexed on cumulative inflation every 5 years, to all PWDs not receiving any other allowance</v>
      </c>
      <c r="B131" s="235">
        <f>'Cross-Cutting'!B24</f>
        <v>0</v>
      </c>
      <c r="C131" s="236">
        <f>'Cross-Cutting'!C24</f>
        <v>0</v>
      </c>
      <c r="D131" s="236">
        <f>'Cross-Cutting'!D24</f>
        <v>0.0010317567884169847</v>
      </c>
      <c r="E131" s="236">
        <f>'Cross-Cutting'!E24</f>
        <v>0.001900002398606603</v>
      </c>
      <c r="F131" s="236">
        <f>'Cross-Cutting'!F24</f>
        <v>0.0026263122999422212</v>
      </c>
      <c r="G131" s="236">
        <f>'Cross-Cutting'!G24</f>
        <v>0.0032302570313860915</v>
      </c>
      <c r="H131" s="236">
        <f>'Cross-Cutting'!H24</f>
        <v>0.003086100761268104</v>
      </c>
      <c r="I131" s="237">
        <f>'Cross-Cutting'!I24</f>
        <v>0.003467343840772331</v>
      </c>
      <c r="J131" s="236"/>
      <c r="K131" s="236"/>
      <c r="L131" s="236"/>
      <c r="M131" s="236"/>
      <c r="N131" s="236"/>
      <c r="O131" s="236"/>
    </row>
    <row r="132" spans="1:15" ht="14.25" customHeight="1">
      <c r="A132" s="238" t="str">
        <f>'Cross-Cutting'!A26:I26</f>
        <v>Scenario 2: Provide a disability allowance of PHP 1,000 per month, indexed on cumulative inflation every 5 years, to all PWDs not receiving any other allowance</v>
      </c>
      <c r="B132" s="239">
        <f>'Cross-Cutting'!B40</f>
        <v>0</v>
      </c>
      <c r="C132" s="240">
        <f>'Cross-Cutting'!C40</f>
        <v>0</v>
      </c>
      <c r="D132" s="240">
        <f>'Cross-Cutting'!D40</f>
        <v>0.0013756757178893131</v>
      </c>
      <c r="E132" s="240">
        <f>'Cross-Cutting'!E40</f>
        <v>0.00253333653147547</v>
      </c>
      <c r="F132" s="240">
        <f>'Cross-Cutting'!F40</f>
        <v>0.0035017497332562957</v>
      </c>
      <c r="G132" s="240">
        <f>'Cross-Cutting'!G40</f>
        <v>0.004307009375181454</v>
      </c>
      <c r="H132" s="240">
        <f>'Cross-Cutting'!H40</f>
        <v>0.0041148010150241394</v>
      </c>
      <c r="I132" s="241">
        <f>'Cross-Cutting'!I40</f>
        <v>0.004623125121029775</v>
      </c>
      <c r="J132" s="240"/>
      <c r="K132" s="240"/>
      <c r="L132" s="240"/>
      <c r="M132" s="240"/>
      <c r="N132" s="240"/>
      <c r="O132" s="240"/>
    </row>
    <row r="133" spans="1:15" ht="14.25" customHeight="1">
      <c r="A133" s="807" t="str">
        <f>'Cross-Cutting'!A42:I42</f>
        <v xml:space="preserve">Scenario 3: Provide a disability allowance of PHP 750 per month, indexed on cumulative inflation every 5 years, to all PWDs </v>
      </c>
      <c r="B133" s="235">
        <f>'Cross-Cutting'!B54</f>
        <v>0</v>
      </c>
      <c r="C133" s="236">
        <f>'Cross-Cutting'!C54</f>
        <v>0</v>
      </c>
      <c r="D133" s="236">
        <f>'Cross-Cutting'!D54</f>
        <v>0.0016019718406937865</v>
      </c>
      <c r="E133" s="236">
        <f>'Cross-Cutting'!E54</f>
        <v>0.0029554078566107933</v>
      </c>
      <c r="F133" s="236">
        <f>'Cross-Cutting'!F54</f>
        <v>0.0040922134429554795</v>
      </c>
      <c r="G133" s="236">
        <f>'Cross-Cutting'!G54</f>
        <v>0.005041596005153269</v>
      </c>
      <c r="H133" s="236">
        <f>'Cross-Cutting'!H54</f>
        <v>0.0048242965106519466</v>
      </c>
      <c r="I133" s="237">
        <f>'Cross-Cutting'!I54</f>
        <v>0.00542867253930499</v>
      </c>
      <c r="J133" s="236"/>
      <c r="K133" s="236"/>
      <c r="L133" s="236"/>
      <c r="M133" s="236"/>
      <c r="N133" s="236"/>
      <c r="O133" s="236"/>
    </row>
    <row r="134" spans="1:15" ht="14.25" customHeight="1">
      <c r="A134" s="822" t="str">
        <f>'Cross-Cutting'!A56:I56</f>
        <v>Scenario 4: Provide a disability allowance of PHP 1,000 per month, indexed on cumulative inflation every 5 years, to all PWDs</v>
      </c>
      <c r="B134" s="823">
        <f>'Cross-Cutting'!B68</f>
        <v>0</v>
      </c>
      <c r="C134" s="824">
        <f>'Cross-Cutting'!C68</f>
        <v>0</v>
      </c>
      <c r="D134" s="824">
        <f>'Cross-Cutting'!D68</f>
        <v>0.0021359624542583817</v>
      </c>
      <c r="E134" s="824">
        <f>'Cross-Cutting'!E68</f>
        <v>0.003940543808814392</v>
      </c>
      <c r="F134" s="824">
        <f>'Cross-Cutting'!F68</f>
        <v>0.005456284590607307</v>
      </c>
      <c r="G134" s="824">
        <f>'Cross-Cutting'!G68</f>
        <v>0.006722128006871025</v>
      </c>
      <c r="H134" s="824">
        <f>'Cross-Cutting'!H68</f>
        <v>0.006432395347535928</v>
      </c>
      <c r="I134" s="825">
        <f>'Cross-Cutting'!I68</f>
        <v>0.007238230052406655</v>
      </c>
      <c r="J134" s="240"/>
      <c r="K134" s="240"/>
      <c r="L134" s="240"/>
      <c r="M134" s="240"/>
      <c r="N134" s="240"/>
      <c r="O134" s="240"/>
    </row>
    <row r="135" spans="1:15" ht="12" customHeight="1">
      <c r="A135" s="453"/>
      <c r="B135" s="377"/>
      <c r="C135" s="377"/>
      <c r="D135" s="377"/>
      <c r="E135" s="377"/>
      <c r="F135" s="377"/>
      <c r="G135" s="377"/>
      <c r="H135" s="377"/>
      <c r="I135" s="377"/>
      <c r="J135" s="1049"/>
      <c r="K135" s="1049"/>
      <c r="L135" s="1049"/>
      <c r="M135" s="1049"/>
      <c r="N135" s="1049"/>
      <c r="O135" s="1049"/>
    </row>
    <row r="136" spans="1:15" ht="15">
      <c r="A136" s="457" t="s">
        <v>72</v>
      </c>
      <c r="B136" s="445"/>
      <c r="C136" s="446"/>
      <c r="D136" s="446"/>
      <c r="E136" s="446"/>
      <c r="F136" s="446"/>
      <c r="G136" s="446"/>
      <c r="H136" s="446"/>
      <c r="I136" s="447"/>
      <c r="J136" s="1050"/>
      <c r="K136" s="1050"/>
      <c r="L136" s="1050"/>
      <c r="M136" s="1050"/>
      <c r="N136" s="1050"/>
      <c r="O136" s="1050"/>
    </row>
    <row r="137" spans="1:15" ht="15">
      <c r="A137" s="40" t="s">
        <v>136</v>
      </c>
      <c r="B137" s="378">
        <f aca="true" t="shared" si="108" ref="B137:I137">SUM(B100)</f>
        <v>0</v>
      </c>
      <c r="C137" s="244">
        <f t="shared" si="108"/>
        <v>0</v>
      </c>
      <c r="D137" s="244">
        <f t="shared" si="108"/>
        <v>0.00045333210766212095</v>
      </c>
      <c r="E137" s="244">
        <f t="shared" si="108"/>
        <v>0.0007838832878209784</v>
      </c>
      <c r="F137" s="244">
        <f t="shared" si="108"/>
        <v>0.0010140217465691634</v>
      </c>
      <c r="G137" s="244">
        <f t="shared" si="108"/>
        <v>0.0011629688889062903</v>
      </c>
      <c r="H137" s="244">
        <f t="shared" si="108"/>
        <v>0.0010317742777288185</v>
      </c>
      <c r="I137" s="245">
        <f t="shared" si="108"/>
        <v>0.0009111037726602287</v>
      </c>
      <c r="J137" s="244"/>
      <c r="K137" s="244"/>
      <c r="L137" s="244"/>
      <c r="M137" s="244"/>
      <c r="N137" s="244"/>
      <c r="O137" s="244"/>
    </row>
    <row r="138" spans="1:16" ht="15">
      <c r="A138" s="40" t="s">
        <v>137</v>
      </c>
      <c r="B138" s="378">
        <f aca="true" t="shared" si="109" ref="B138:I138">SUM(B109,B105)</f>
        <v>0</v>
      </c>
      <c r="C138" s="244">
        <f t="shared" si="109"/>
        <v>0</v>
      </c>
      <c r="D138" s="244">
        <f t="shared" si="109"/>
        <v>0.011069346335930048</v>
      </c>
      <c r="E138" s="244">
        <f t="shared" si="109"/>
        <v>0.016206160700339246</v>
      </c>
      <c r="F138" s="244">
        <f t="shared" si="109"/>
        <v>0.02107935240534398</v>
      </c>
      <c r="G138" s="244">
        <f t="shared" si="109"/>
        <v>0.025533143423729303</v>
      </c>
      <c r="H138" s="244">
        <f t="shared" si="109"/>
        <v>0.02552002726044516</v>
      </c>
      <c r="I138" s="245">
        <f t="shared" si="109"/>
        <v>0.030259183525005437</v>
      </c>
      <c r="J138" s="244"/>
      <c r="K138" s="244"/>
      <c r="L138" s="244"/>
      <c r="M138" s="244"/>
      <c r="N138" s="244"/>
      <c r="O138" s="244"/>
      <c r="P138" s="721" t="s">
        <v>423</v>
      </c>
    </row>
    <row r="139" spans="1:16" ht="15">
      <c r="A139" s="40" t="s">
        <v>138</v>
      </c>
      <c r="B139" s="378">
        <f aca="true" t="shared" si="110" ref="B139:I139">SUM(B111,B113,B115,B117)</f>
        <v>0</v>
      </c>
      <c r="C139" s="244">
        <f t="shared" si="110"/>
        <v>0</v>
      </c>
      <c r="D139" s="244">
        <f t="shared" si="110"/>
        <v>0.0015442163922471867</v>
      </c>
      <c r="E139" s="244">
        <f t="shared" si="110"/>
        <v>0.003140751036889284</v>
      </c>
      <c r="F139" s="244">
        <f t="shared" si="110"/>
        <v>0.004439470292584121</v>
      </c>
      <c r="G139" s="244">
        <f t="shared" si="110"/>
        <v>0.005570962011831633</v>
      </c>
      <c r="H139" s="244">
        <f t="shared" si="110"/>
        <v>0.005432638177277797</v>
      </c>
      <c r="I139" s="245">
        <f t="shared" si="110"/>
        <v>0.0053967619922651745</v>
      </c>
      <c r="J139" s="244"/>
      <c r="K139" s="244"/>
      <c r="L139" s="244"/>
      <c r="M139" s="244"/>
      <c r="N139" s="244"/>
      <c r="O139" s="244"/>
      <c r="P139" s="721" t="s">
        <v>422</v>
      </c>
    </row>
    <row r="140" spans="1:16" ht="15">
      <c r="A140" s="40" t="s">
        <v>140</v>
      </c>
      <c r="B140" s="378">
        <f>B123</f>
        <v>0</v>
      </c>
      <c r="C140" s="244">
        <f aca="true" t="shared" si="111" ref="C140:I140">C123</f>
        <v>0</v>
      </c>
      <c r="D140" s="244">
        <f t="shared" si="111"/>
        <v>0.0015218152970603099</v>
      </c>
      <c r="E140" s="244">
        <f t="shared" si="111"/>
        <v>0.001426486402927558</v>
      </c>
      <c r="F140" s="244">
        <f t="shared" si="111"/>
        <v>0.0013376923496206871</v>
      </c>
      <c r="G140" s="244">
        <f t="shared" si="111"/>
        <v>0.0012552145906260764</v>
      </c>
      <c r="H140" s="244">
        <f t="shared" si="111"/>
        <v>0.0012194626583642892</v>
      </c>
      <c r="I140" s="245">
        <f t="shared" si="111"/>
        <v>0.00180877840730022</v>
      </c>
      <c r="J140" s="244"/>
      <c r="K140" s="244"/>
      <c r="L140" s="244"/>
      <c r="M140" s="244"/>
      <c r="N140" s="244"/>
      <c r="O140" s="244"/>
      <c r="P140" s="721"/>
    </row>
    <row r="141" spans="1:16" ht="15">
      <c r="A141" s="449" t="s">
        <v>329</v>
      </c>
      <c r="B141" s="378">
        <f aca="true" t="shared" si="112" ref="B141:I141">B131</f>
        <v>0</v>
      </c>
      <c r="C141" s="244">
        <f t="shared" si="112"/>
        <v>0</v>
      </c>
      <c r="D141" s="244">
        <f t="shared" si="112"/>
        <v>0.0010317567884169847</v>
      </c>
      <c r="E141" s="244">
        <f t="shared" si="112"/>
        <v>0.001900002398606603</v>
      </c>
      <c r="F141" s="244">
        <f t="shared" si="112"/>
        <v>0.0026263122999422212</v>
      </c>
      <c r="G141" s="244">
        <f t="shared" si="112"/>
        <v>0.0032302570313860915</v>
      </c>
      <c r="H141" s="244">
        <f t="shared" si="112"/>
        <v>0.003086100761268104</v>
      </c>
      <c r="I141" s="245">
        <f t="shared" si="112"/>
        <v>0.003467343840772331</v>
      </c>
      <c r="J141" s="244"/>
      <c r="K141" s="244"/>
      <c r="L141" s="244"/>
      <c r="M141" s="244"/>
      <c r="N141" s="244"/>
      <c r="O141" s="244"/>
      <c r="P141" s="721"/>
    </row>
    <row r="142" spans="1:15" ht="15">
      <c r="A142" s="247" t="s">
        <v>14</v>
      </c>
      <c r="B142" s="379">
        <f>SUM(B137:B141)</f>
        <v>0</v>
      </c>
      <c r="C142" s="379">
        <f aca="true" t="shared" si="113" ref="C142:H142">SUM(C137:C141)</f>
        <v>0</v>
      </c>
      <c r="D142" s="379">
        <f t="shared" si="113"/>
        <v>0.015620466921316651</v>
      </c>
      <c r="E142" s="379">
        <f t="shared" si="113"/>
        <v>0.02345728382658367</v>
      </c>
      <c r="F142" s="379">
        <f t="shared" si="113"/>
        <v>0.030496849094060176</v>
      </c>
      <c r="G142" s="379">
        <f t="shared" si="113"/>
        <v>0.036752545946479385</v>
      </c>
      <c r="H142" s="379">
        <f t="shared" si="113"/>
        <v>0.03629000313508417</v>
      </c>
      <c r="I142" s="379">
        <f>SUM(I137:I141)</f>
        <v>0.04184317153800339</v>
      </c>
      <c r="J142" s="1051"/>
      <c r="K142" s="1051"/>
      <c r="L142" s="1051"/>
      <c r="M142" s="1051"/>
      <c r="N142" s="1051"/>
      <c r="O142" s="1051"/>
    </row>
    <row r="143" spans="1:15" ht="15">
      <c r="A143" s="246"/>
      <c r="B143" s="458"/>
      <c r="C143" s="458"/>
      <c r="D143" s="458"/>
      <c r="E143" s="458"/>
      <c r="F143" s="458"/>
      <c r="G143" s="458"/>
      <c r="H143" s="458"/>
      <c r="I143" s="458"/>
      <c r="J143" s="1052"/>
      <c r="K143" s="1052"/>
      <c r="L143" s="1052"/>
      <c r="M143" s="1052"/>
      <c r="N143" s="1052"/>
      <c r="O143" s="1052"/>
    </row>
    <row r="144" spans="1:15" ht="15">
      <c r="A144" s="456" t="s">
        <v>73</v>
      </c>
      <c r="B144" s="445"/>
      <c r="C144" s="446"/>
      <c r="D144" s="446"/>
      <c r="E144" s="446"/>
      <c r="F144" s="446"/>
      <c r="G144" s="446"/>
      <c r="H144" s="446"/>
      <c r="I144" s="447"/>
      <c r="J144" s="1050"/>
      <c r="K144" s="1050"/>
      <c r="L144" s="1050"/>
      <c r="M144" s="1050"/>
      <c r="N144" s="1050"/>
      <c r="O144" s="1050"/>
    </row>
    <row r="145" spans="1:15" ht="15">
      <c r="A145" s="40" t="s">
        <v>136</v>
      </c>
      <c r="B145" s="378">
        <f aca="true" t="shared" si="114" ref="B145:I145">SUM(B102)</f>
        <v>0</v>
      </c>
      <c r="C145" s="244">
        <f t="shared" si="114"/>
        <v>0</v>
      </c>
      <c r="D145" s="244">
        <f t="shared" si="114"/>
        <v>0.0012466632960708324</v>
      </c>
      <c r="E145" s="244">
        <f t="shared" si="114"/>
        <v>0.0021556790415076907</v>
      </c>
      <c r="F145" s="244">
        <f t="shared" si="114"/>
        <v>0.0027885598030651993</v>
      </c>
      <c r="G145" s="244">
        <f t="shared" si="114"/>
        <v>0.0031981644444922983</v>
      </c>
      <c r="H145" s="244">
        <f t="shared" si="114"/>
        <v>0.0028373792637542508</v>
      </c>
      <c r="I145" s="245">
        <f t="shared" si="114"/>
        <v>0.0025055353748156288</v>
      </c>
      <c r="J145" s="244"/>
      <c r="K145" s="244"/>
      <c r="L145" s="244"/>
      <c r="M145" s="244"/>
      <c r="N145" s="244"/>
      <c r="O145" s="244"/>
    </row>
    <row r="146" spans="1:15" ht="15">
      <c r="A146" s="40" t="s">
        <v>137</v>
      </c>
      <c r="B146" s="378">
        <f aca="true" t="shared" si="115" ref="B146:I146">SUM(B107,B108,B109)</f>
        <v>0</v>
      </c>
      <c r="C146" s="244">
        <f t="shared" si="115"/>
        <v>0</v>
      </c>
      <c r="D146" s="244">
        <f t="shared" si="115"/>
        <v>0.01430545408094906</v>
      </c>
      <c r="E146" s="244">
        <f t="shared" si="115"/>
        <v>0.01932459638556186</v>
      </c>
      <c r="F146" s="244">
        <f t="shared" si="115"/>
        <v>0.024075184016295395</v>
      </c>
      <c r="G146" s="244">
        <f t="shared" si="115"/>
        <v>0.028404295336942997</v>
      </c>
      <c r="H146" s="244">
        <f t="shared" si="115"/>
        <v>0.028360348503919358</v>
      </c>
      <c r="I146" s="245">
        <f t="shared" si="115"/>
        <v>0.03362485291978742</v>
      </c>
      <c r="J146" s="244"/>
      <c r="K146" s="244"/>
      <c r="L146" s="244"/>
      <c r="M146" s="244"/>
      <c r="N146" s="244"/>
      <c r="O146" s="244"/>
    </row>
    <row r="147" spans="1:15" ht="15">
      <c r="A147" s="40" t="s">
        <v>138</v>
      </c>
      <c r="B147" s="378">
        <f aca="true" t="shared" si="116" ref="B147:I147">SUM(B112,B114,B115,B121)</f>
        <v>0</v>
      </c>
      <c r="C147" s="244">
        <f t="shared" si="116"/>
        <v>0</v>
      </c>
      <c r="D147" s="244">
        <f t="shared" si="116"/>
        <v>0.0041767905769059714</v>
      </c>
      <c r="E147" s="244">
        <f t="shared" si="116"/>
        <v>0.007992679605415394</v>
      </c>
      <c r="F147" s="244">
        <f t="shared" si="116"/>
        <v>0.011552642620257394</v>
      </c>
      <c r="G147" s="244">
        <f t="shared" si="116"/>
        <v>0.014807472827921764</v>
      </c>
      <c r="H147" s="244">
        <f t="shared" si="116"/>
        <v>0.01475484630980353</v>
      </c>
      <c r="I147" s="245">
        <f t="shared" si="116"/>
        <v>0.014810004492073914</v>
      </c>
      <c r="J147" s="244"/>
      <c r="K147" s="244"/>
      <c r="L147" s="244"/>
      <c r="M147" s="244"/>
      <c r="N147" s="244"/>
      <c r="O147" s="244"/>
    </row>
    <row r="148" spans="1:15" ht="15">
      <c r="A148" s="40" t="s">
        <v>140</v>
      </c>
      <c r="B148" s="378">
        <f aca="true" t="shared" si="117" ref="B148:I148">SUM(B129)</f>
        <v>0</v>
      </c>
      <c r="C148" s="244">
        <f t="shared" si="117"/>
        <v>0</v>
      </c>
      <c r="D148" s="244">
        <f t="shared" si="117"/>
        <v>0.026164246666077334</v>
      </c>
      <c r="E148" s="244">
        <f t="shared" si="117"/>
        <v>0.024761437450171793</v>
      </c>
      <c r="F148" s="244">
        <f t="shared" si="117"/>
        <v>0.023445418112515843</v>
      </c>
      <c r="G148" s="244">
        <f t="shared" si="117"/>
        <v>0.022214952793093056</v>
      </c>
      <c r="H148" s="244">
        <f t="shared" si="117"/>
        <v>0.0217948722248715</v>
      </c>
      <c r="I148" s="245">
        <f t="shared" si="117"/>
        <v>0.025554192748131557</v>
      </c>
      <c r="J148" s="244"/>
      <c r="K148" s="244"/>
      <c r="L148" s="244"/>
      <c r="M148" s="244"/>
      <c r="N148" s="244"/>
      <c r="O148" s="244"/>
    </row>
    <row r="149" spans="1:15" ht="15">
      <c r="A149" s="449" t="s">
        <v>329</v>
      </c>
      <c r="B149" s="378">
        <f>B134</f>
        <v>0</v>
      </c>
      <c r="C149" s="244">
        <f aca="true" t="shared" si="118" ref="C149:I149">C134</f>
        <v>0</v>
      </c>
      <c r="D149" s="244">
        <f t="shared" si="118"/>
        <v>0.0021359624542583817</v>
      </c>
      <c r="E149" s="244">
        <f t="shared" si="118"/>
        <v>0.003940543808814392</v>
      </c>
      <c r="F149" s="244">
        <f t="shared" si="118"/>
        <v>0.005456284590607307</v>
      </c>
      <c r="G149" s="244">
        <f t="shared" si="118"/>
        <v>0.006722128006871025</v>
      </c>
      <c r="H149" s="244">
        <f t="shared" si="118"/>
        <v>0.006432395347535928</v>
      </c>
      <c r="I149" s="245">
        <f t="shared" si="118"/>
        <v>0.007238230052406655</v>
      </c>
      <c r="J149" s="244"/>
      <c r="K149" s="244"/>
      <c r="L149" s="244"/>
      <c r="M149" s="244"/>
      <c r="N149" s="244"/>
      <c r="O149" s="244"/>
    </row>
    <row r="150" spans="1:15" ht="15">
      <c r="A150" s="247" t="s">
        <v>14</v>
      </c>
      <c r="B150" s="379">
        <f>SUM(B145:B149)</f>
        <v>0</v>
      </c>
      <c r="C150" s="379">
        <f aca="true" t="shared" si="119" ref="C150:I150">SUM(C145:C149)</f>
        <v>0</v>
      </c>
      <c r="D150" s="379">
        <f t="shared" si="119"/>
        <v>0.04802911707426158</v>
      </c>
      <c r="E150" s="379">
        <f t="shared" si="119"/>
        <v>0.058174936291471135</v>
      </c>
      <c r="F150" s="379">
        <f t="shared" si="119"/>
        <v>0.06731808914274114</v>
      </c>
      <c r="G150" s="379">
        <f t="shared" si="119"/>
        <v>0.07534701340932115</v>
      </c>
      <c r="H150" s="379">
        <f t="shared" si="119"/>
        <v>0.07417984164988456</v>
      </c>
      <c r="I150" s="379">
        <f t="shared" si="119"/>
        <v>0.08373281558721518</v>
      </c>
      <c r="J150" s="1051"/>
      <c r="K150" s="1051"/>
      <c r="L150" s="1051"/>
      <c r="M150" s="1051"/>
      <c r="N150" s="1051"/>
      <c r="O150" s="1051"/>
    </row>
    <row r="151" spans="2:15" ht="15">
      <c r="B151" s="707"/>
      <c r="C151" s="707"/>
      <c r="D151" s="707"/>
      <c r="E151" s="707"/>
      <c r="F151" s="707"/>
      <c r="G151" s="707"/>
      <c r="H151" s="707"/>
      <c r="I151" s="731"/>
      <c r="J151" s="731"/>
      <c r="K151" s="731"/>
      <c r="L151" s="731"/>
      <c r="M151" s="731"/>
      <c r="N151" s="731"/>
      <c r="O151" s="731"/>
    </row>
    <row r="152" spans="1:23" ht="15">
      <c r="A152" s="247"/>
      <c r="B152" s="1167">
        <v>2015</v>
      </c>
      <c r="C152" s="1168"/>
      <c r="D152" s="1167">
        <v>2016</v>
      </c>
      <c r="E152" s="1168"/>
      <c r="F152" s="1167">
        <v>2017</v>
      </c>
      <c r="G152" s="1168"/>
      <c r="H152" s="1167">
        <v>2018</v>
      </c>
      <c r="I152" s="1169"/>
      <c r="J152" s="997"/>
      <c r="K152" s="997"/>
      <c r="L152" s="997"/>
      <c r="M152" s="997"/>
      <c r="N152" s="997"/>
      <c r="O152" s="997"/>
      <c r="P152" s="1160">
        <v>2019</v>
      </c>
      <c r="Q152" s="1162"/>
      <c r="R152" s="1160">
        <v>2020</v>
      </c>
      <c r="S152" s="1161"/>
      <c r="T152" s="1160">
        <v>2021</v>
      </c>
      <c r="U152" s="1162"/>
      <c r="V152" s="1160">
        <v>2022</v>
      </c>
      <c r="W152" s="1161"/>
    </row>
    <row r="153" spans="1:23" ht="15">
      <c r="A153" s="407"/>
      <c r="B153" s="732" t="s">
        <v>258</v>
      </c>
      <c r="C153" s="733" t="s">
        <v>259</v>
      </c>
      <c r="D153" s="732" t="s">
        <v>258</v>
      </c>
      <c r="E153" s="734" t="s">
        <v>259</v>
      </c>
      <c r="F153" s="732" t="s">
        <v>258</v>
      </c>
      <c r="G153" s="733" t="s">
        <v>259</v>
      </c>
      <c r="H153" s="734" t="s">
        <v>258</v>
      </c>
      <c r="I153" s="734" t="s">
        <v>259</v>
      </c>
      <c r="J153" s="734"/>
      <c r="K153" s="734"/>
      <c r="L153" s="734"/>
      <c r="M153" s="734"/>
      <c r="N153" s="734"/>
      <c r="O153" s="734"/>
      <c r="P153" s="412" t="s">
        <v>258</v>
      </c>
      <c r="Q153" s="413" t="s">
        <v>259</v>
      </c>
      <c r="R153" s="414" t="s">
        <v>258</v>
      </c>
      <c r="S153" s="413" t="s">
        <v>259</v>
      </c>
      <c r="T153" s="414" t="s">
        <v>258</v>
      </c>
      <c r="U153" s="413" t="s">
        <v>259</v>
      </c>
      <c r="V153" s="414" t="s">
        <v>258</v>
      </c>
      <c r="W153" s="413" t="s">
        <v>259</v>
      </c>
    </row>
    <row r="154" spans="1:23" ht="15">
      <c r="A154" s="448" t="s">
        <v>136</v>
      </c>
      <c r="B154" s="408">
        <f aca="true" t="shared" si="120" ref="B154:B159">B137</f>
        <v>0</v>
      </c>
      <c r="C154" s="409">
        <f aca="true" t="shared" si="121" ref="C154:C159">B145</f>
        <v>0</v>
      </c>
      <c r="D154" s="410">
        <f aca="true" t="shared" si="122" ref="D154:D159">C137</f>
        <v>0</v>
      </c>
      <c r="E154" s="409">
        <f aca="true" t="shared" si="123" ref="E154:E159">C145</f>
        <v>0</v>
      </c>
      <c r="F154" s="410">
        <f aca="true" t="shared" si="124" ref="F154:F159">D137</f>
        <v>0.00045333210766212095</v>
      </c>
      <c r="G154" s="409">
        <f aca="true" t="shared" si="125" ref="G154:G159">D145</f>
        <v>0.0012466632960708324</v>
      </c>
      <c r="H154" s="410">
        <f aca="true" t="shared" si="126" ref="H154:H159">E137</f>
        <v>0.0007838832878209784</v>
      </c>
      <c r="I154" s="409">
        <f aca="true" t="shared" si="127" ref="I154:I159">E145</f>
        <v>0.0021556790415076907</v>
      </c>
      <c r="J154" s="410"/>
      <c r="K154" s="410"/>
      <c r="L154" s="410"/>
      <c r="M154" s="410"/>
      <c r="N154" s="410"/>
      <c r="O154" s="410"/>
      <c r="P154" s="410">
        <f aca="true" t="shared" si="128" ref="P154:P159">F137</f>
        <v>0.0010140217465691634</v>
      </c>
      <c r="Q154" s="409">
        <f aca="true" t="shared" si="129" ref="Q154:Q159">F145</f>
        <v>0.0027885598030651993</v>
      </c>
      <c r="R154" s="410">
        <f aca="true" t="shared" si="130" ref="R154:R159">G137</f>
        <v>0.0011629688889062903</v>
      </c>
      <c r="S154" s="409">
        <f aca="true" t="shared" si="131" ref="S154:S159">G145</f>
        <v>0.0031981644444922983</v>
      </c>
      <c r="T154" s="410">
        <f aca="true" t="shared" si="132" ref="T154:T159">H137</f>
        <v>0.0010317742777288185</v>
      </c>
      <c r="U154" s="409">
        <f aca="true" t="shared" si="133" ref="U154:U159">H145</f>
        <v>0.0028373792637542508</v>
      </c>
      <c r="V154" s="410">
        <f aca="true" t="shared" si="134" ref="V154:V159">I137</f>
        <v>0.0009111037726602287</v>
      </c>
      <c r="W154" s="409">
        <f aca="true" t="shared" si="135" ref="W154:W159">I145</f>
        <v>0.0025055353748156288</v>
      </c>
    </row>
    <row r="155" spans="1:23" ht="15">
      <c r="A155" s="40" t="s">
        <v>391</v>
      </c>
      <c r="B155" s="378">
        <f t="shared" si="120"/>
        <v>0</v>
      </c>
      <c r="C155" s="245">
        <f t="shared" si="121"/>
        <v>0</v>
      </c>
      <c r="D155" s="244">
        <f t="shared" si="122"/>
        <v>0</v>
      </c>
      <c r="E155" s="245">
        <f t="shared" si="123"/>
        <v>0</v>
      </c>
      <c r="F155" s="244">
        <f t="shared" si="124"/>
        <v>0.011069346335930048</v>
      </c>
      <c r="G155" s="245">
        <f t="shared" si="125"/>
        <v>0.01430545408094906</v>
      </c>
      <c r="H155" s="244">
        <f t="shared" si="126"/>
        <v>0.016206160700339246</v>
      </c>
      <c r="I155" s="245">
        <f t="shared" si="127"/>
        <v>0.01932459638556186</v>
      </c>
      <c r="J155" s="244"/>
      <c r="K155" s="244"/>
      <c r="L155" s="244"/>
      <c r="M155" s="244"/>
      <c r="N155" s="244"/>
      <c r="O155" s="244"/>
      <c r="P155" s="244">
        <f t="shared" si="128"/>
        <v>0.02107935240534398</v>
      </c>
      <c r="Q155" s="245">
        <f t="shared" si="129"/>
        <v>0.024075184016295395</v>
      </c>
      <c r="R155" s="244">
        <f t="shared" si="130"/>
        <v>0.025533143423729303</v>
      </c>
      <c r="S155" s="245">
        <f t="shared" si="131"/>
        <v>0.028404295336942997</v>
      </c>
      <c r="T155" s="244">
        <f t="shared" si="132"/>
        <v>0.02552002726044516</v>
      </c>
      <c r="U155" s="245">
        <f t="shared" si="133"/>
        <v>0.028360348503919358</v>
      </c>
      <c r="V155" s="244">
        <f t="shared" si="134"/>
        <v>0.030259183525005437</v>
      </c>
      <c r="W155" s="245">
        <f t="shared" si="135"/>
        <v>0.03362485291978742</v>
      </c>
    </row>
    <row r="156" spans="1:23" ht="15">
      <c r="A156" s="40" t="s">
        <v>392</v>
      </c>
      <c r="B156" s="378">
        <f t="shared" si="120"/>
        <v>0</v>
      </c>
      <c r="C156" s="245">
        <f t="shared" si="121"/>
        <v>0</v>
      </c>
      <c r="D156" s="244">
        <f t="shared" si="122"/>
        <v>0</v>
      </c>
      <c r="E156" s="245">
        <f t="shared" si="123"/>
        <v>0</v>
      </c>
      <c r="F156" s="244">
        <f t="shared" si="124"/>
        <v>0.0015442163922471867</v>
      </c>
      <c r="G156" s="245">
        <f t="shared" si="125"/>
        <v>0.0041767905769059714</v>
      </c>
      <c r="H156" s="244">
        <f t="shared" si="126"/>
        <v>0.003140751036889284</v>
      </c>
      <c r="I156" s="245">
        <f t="shared" si="127"/>
        <v>0.007992679605415394</v>
      </c>
      <c r="J156" s="244"/>
      <c r="K156" s="244"/>
      <c r="L156" s="244"/>
      <c r="M156" s="244"/>
      <c r="N156" s="244"/>
      <c r="O156" s="244"/>
      <c r="P156" s="244">
        <f t="shared" si="128"/>
        <v>0.004439470292584121</v>
      </c>
      <c r="Q156" s="245">
        <f t="shared" si="129"/>
        <v>0.011552642620257394</v>
      </c>
      <c r="R156" s="244">
        <f t="shared" si="130"/>
        <v>0.005570962011831633</v>
      </c>
      <c r="S156" s="245">
        <f t="shared" si="131"/>
        <v>0.014807472827921764</v>
      </c>
      <c r="T156" s="244">
        <f t="shared" si="132"/>
        <v>0.005432638177277797</v>
      </c>
      <c r="U156" s="245">
        <f t="shared" si="133"/>
        <v>0.01475484630980353</v>
      </c>
      <c r="V156" s="244">
        <f t="shared" si="134"/>
        <v>0.0053967619922651745</v>
      </c>
      <c r="W156" s="245">
        <f t="shared" si="135"/>
        <v>0.014810004492073914</v>
      </c>
    </row>
    <row r="157" spans="1:23" ht="15">
      <c r="A157" s="40" t="s">
        <v>393</v>
      </c>
      <c r="B157" s="378">
        <f t="shared" si="120"/>
        <v>0</v>
      </c>
      <c r="C157" s="245">
        <f t="shared" si="121"/>
        <v>0</v>
      </c>
      <c r="D157" s="244">
        <f t="shared" si="122"/>
        <v>0</v>
      </c>
      <c r="E157" s="245">
        <f t="shared" si="123"/>
        <v>0</v>
      </c>
      <c r="F157" s="244">
        <f t="shared" si="124"/>
        <v>0.0015218152970603099</v>
      </c>
      <c r="G157" s="245">
        <f t="shared" si="125"/>
        <v>0.026164246666077334</v>
      </c>
      <c r="H157" s="244">
        <f t="shared" si="126"/>
        <v>0.001426486402927558</v>
      </c>
      <c r="I157" s="245">
        <f t="shared" si="127"/>
        <v>0.024761437450171793</v>
      </c>
      <c r="J157" s="244"/>
      <c r="K157" s="244"/>
      <c r="L157" s="244"/>
      <c r="M157" s="244"/>
      <c r="N157" s="244"/>
      <c r="O157" s="244"/>
      <c r="P157" s="244">
        <f t="shared" si="128"/>
        <v>0.0013376923496206871</v>
      </c>
      <c r="Q157" s="245">
        <f t="shared" si="129"/>
        <v>0.023445418112515843</v>
      </c>
      <c r="R157" s="244">
        <f t="shared" si="130"/>
        <v>0.0012552145906260764</v>
      </c>
      <c r="S157" s="245">
        <f t="shared" si="131"/>
        <v>0.022214952793093056</v>
      </c>
      <c r="T157" s="244">
        <f t="shared" si="132"/>
        <v>0.0012194626583642892</v>
      </c>
      <c r="U157" s="245">
        <f t="shared" si="133"/>
        <v>0.0217948722248715</v>
      </c>
      <c r="V157" s="244">
        <f t="shared" si="134"/>
        <v>0.00180877840730022</v>
      </c>
      <c r="W157" s="245">
        <f t="shared" si="135"/>
        <v>0.025554192748131557</v>
      </c>
    </row>
    <row r="158" spans="1:23" ht="15">
      <c r="A158" s="449" t="s">
        <v>394</v>
      </c>
      <c r="B158" s="378">
        <f t="shared" si="120"/>
        <v>0</v>
      </c>
      <c r="C158" s="245">
        <f t="shared" si="121"/>
        <v>0</v>
      </c>
      <c r="D158" s="244">
        <f t="shared" si="122"/>
        <v>0</v>
      </c>
      <c r="E158" s="245">
        <f t="shared" si="123"/>
        <v>0</v>
      </c>
      <c r="F158" s="244">
        <f t="shared" si="124"/>
        <v>0.0010317567884169847</v>
      </c>
      <c r="G158" s="245">
        <f t="shared" si="125"/>
        <v>0.0021359624542583817</v>
      </c>
      <c r="H158" s="244">
        <f t="shared" si="126"/>
        <v>0.001900002398606603</v>
      </c>
      <c r="I158" s="245">
        <f t="shared" si="127"/>
        <v>0.003940543808814392</v>
      </c>
      <c r="J158" s="244"/>
      <c r="K158" s="244"/>
      <c r="L158" s="244"/>
      <c r="M158" s="244"/>
      <c r="N158" s="244"/>
      <c r="O158" s="244"/>
      <c r="P158" s="244">
        <f t="shared" si="128"/>
        <v>0.0026263122999422212</v>
      </c>
      <c r="Q158" s="245">
        <f t="shared" si="129"/>
        <v>0.005456284590607307</v>
      </c>
      <c r="R158" s="244">
        <f t="shared" si="130"/>
        <v>0.0032302570313860915</v>
      </c>
      <c r="S158" s="245">
        <f t="shared" si="131"/>
        <v>0.006722128006871025</v>
      </c>
      <c r="T158" s="244">
        <f t="shared" si="132"/>
        <v>0.003086100761268104</v>
      </c>
      <c r="U158" s="245">
        <f t="shared" si="133"/>
        <v>0.006432395347535928</v>
      </c>
      <c r="V158" s="244">
        <f t="shared" si="134"/>
        <v>0.003467343840772331</v>
      </c>
      <c r="W158" s="245">
        <f t="shared" si="135"/>
        <v>0.007238230052406655</v>
      </c>
    </row>
    <row r="159" spans="1:23" ht="15">
      <c r="A159" s="247"/>
      <c r="B159" s="411">
        <f t="shared" si="120"/>
        <v>0</v>
      </c>
      <c r="C159" s="411">
        <f t="shared" si="121"/>
        <v>0</v>
      </c>
      <c r="D159" s="411">
        <f t="shared" si="122"/>
        <v>0</v>
      </c>
      <c r="E159" s="411">
        <f t="shared" si="123"/>
        <v>0</v>
      </c>
      <c r="F159" s="411">
        <f t="shared" si="124"/>
        <v>0.015620466921316651</v>
      </c>
      <c r="G159" s="411">
        <f t="shared" si="125"/>
        <v>0.04802911707426158</v>
      </c>
      <c r="H159" s="411">
        <f t="shared" si="126"/>
        <v>0.02345728382658367</v>
      </c>
      <c r="I159" s="411">
        <f t="shared" si="127"/>
        <v>0.058174936291471135</v>
      </c>
      <c r="J159" s="411"/>
      <c r="K159" s="411"/>
      <c r="L159" s="411"/>
      <c r="M159" s="411"/>
      <c r="N159" s="411"/>
      <c r="O159" s="411"/>
      <c r="P159" s="411">
        <f t="shared" si="128"/>
        <v>0.030496849094060176</v>
      </c>
      <c r="Q159" s="411">
        <f t="shared" si="129"/>
        <v>0.06731808914274114</v>
      </c>
      <c r="R159" s="411">
        <f t="shared" si="130"/>
        <v>0.036752545946479385</v>
      </c>
      <c r="S159" s="411">
        <f t="shared" si="131"/>
        <v>0.07534701340932115</v>
      </c>
      <c r="T159" s="411">
        <f t="shared" si="132"/>
        <v>0.03629000313508417</v>
      </c>
      <c r="U159" s="411">
        <f t="shared" si="133"/>
        <v>0.07417984164988456</v>
      </c>
      <c r="V159" s="411">
        <f t="shared" si="134"/>
        <v>0.04184317153800339</v>
      </c>
      <c r="W159" s="411">
        <f t="shared" si="135"/>
        <v>0.08373281558721518</v>
      </c>
    </row>
  </sheetData>
  <mergeCells count="32">
    <mergeCell ref="T152:U152"/>
    <mergeCell ref="V152:W152"/>
    <mergeCell ref="D152:E152"/>
    <mergeCell ref="F152:G152"/>
    <mergeCell ref="H152:I152"/>
    <mergeCell ref="P152:Q152"/>
    <mergeCell ref="R152:S152"/>
    <mergeCell ref="A116:A117"/>
    <mergeCell ref="A125:A126"/>
    <mergeCell ref="B152:C152"/>
    <mergeCell ref="A118:A119"/>
    <mergeCell ref="A120:A121"/>
    <mergeCell ref="A35:A36"/>
    <mergeCell ref="A26:A27"/>
    <mergeCell ref="A28:A29"/>
    <mergeCell ref="A30:A31"/>
    <mergeCell ref="B62:C62"/>
    <mergeCell ref="P62:Q62"/>
    <mergeCell ref="F4:G4"/>
    <mergeCell ref="F5:G5"/>
    <mergeCell ref="L62:M62"/>
    <mergeCell ref="D62:E62"/>
    <mergeCell ref="F62:G62"/>
    <mergeCell ref="H62:I62"/>
    <mergeCell ref="J62:K62"/>
    <mergeCell ref="N62:O62"/>
    <mergeCell ref="AB62:AC62"/>
    <mergeCell ref="R62:S62"/>
    <mergeCell ref="T62:U62"/>
    <mergeCell ref="V62:W62"/>
    <mergeCell ref="X62:Y62"/>
    <mergeCell ref="Z62:AA62"/>
  </mergeCells>
  <printOptions/>
  <pageMargins left="0.75" right="0.75" top="1" bottom="1" header="0.5" footer="0.5"/>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44"/>
  <sheetViews>
    <sheetView workbookViewId="0" topLeftCell="A1">
      <selection activeCell="J16" sqref="J16"/>
    </sheetView>
  </sheetViews>
  <sheetFormatPr defaultColWidth="8.8515625" defaultRowHeight="15"/>
  <cols>
    <col min="1" max="1" width="40.7109375" style="211" customWidth="1"/>
    <col min="2" max="9" width="10.7109375" style="211" customWidth="1"/>
    <col min="10" max="10" width="36.7109375" style="211" customWidth="1"/>
    <col min="11" max="22" width="8.8515625" style="211" customWidth="1"/>
    <col min="23" max="16384" width="8.8515625" style="211" customWidth="1"/>
  </cols>
  <sheetData>
    <row r="1" spans="1:10" ht="18">
      <c r="A1" s="248" t="s">
        <v>227</v>
      </c>
      <c r="B1" s="249"/>
      <c r="C1" s="249"/>
      <c r="D1" s="249"/>
      <c r="E1" s="249"/>
      <c r="F1" s="249"/>
      <c r="G1" s="210"/>
      <c r="H1" s="210"/>
      <c r="I1" s="210"/>
      <c r="J1" s="181"/>
    </row>
    <row r="2" spans="1:10" ht="15">
      <c r="A2" s="210"/>
      <c r="B2" s="212"/>
      <c r="C2" s="212"/>
      <c r="D2" s="212"/>
      <c r="E2" s="226" t="s">
        <v>23</v>
      </c>
      <c r="F2" s="227"/>
      <c r="G2" s="228" t="str">
        <f>README!I6</f>
        <v>1.1</v>
      </c>
      <c r="H2" s="228"/>
      <c r="I2" s="228"/>
      <c r="J2" s="181"/>
    </row>
    <row r="3" spans="1:10" ht="15">
      <c r="A3" s="210"/>
      <c r="B3" s="212"/>
      <c r="C3" s="212"/>
      <c r="D3" s="212"/>
      <c r="E3" s="226" t="s">
        <v>19</v>
      </c>
      <c r="F3" s="227"/>
      <c r="G3" s="228" t="str">
        <f>README!I7</f>
        <v>Philippines</v>
      </c>
      <c r="H3" s="228"/>
      <c r="I3" s="228"/>
      <c r="J3" s="181"/>
    </row>
    <row r="4" spans="1:10" ht="15">
      <c r="A4" s="210"/>
      <c r="B4" s="212"/>
      <c r="C4" s="212"/>
      <c r="D4" s="212"/>
      <c r="E4" s="226" t="s">
        <v>24</v>
      </c>
      <c r="F4" s="1163">
        <f>README!H8</f>
        <v>41899</v>
      </c>
      <c r="G4" s="1163"/>
      <c r="H4" s="719"/>
      <c r="I4" s="719"/>
      <c r="J4" s="181"/>
    </row>
    <row r="5" spans="1:10" ht="15">
      <c r="A5" s="210"/>
      <c r="B5" s="212"/>
      <c r="C5" s="212"/>
      <c r="D5" s="212"/>
      <c r="E5" s="226" t="s">
        <v>15</v>
      </c>
      <c r="F5" s="1163">
        <f>README!H9</f>
        <v>42394</v>
      </c>
      <c r="G5" s="1163"/>
      <c r="H5" s="719"/>
      <c r="I5" s="719"/>
      <c r="J5" s="181"/>
    </row>
    <row r="6" spans="1:10" ht="15">
      <c r="A6" s="210"/>
      <c r="B6" s="212"/>
      <c r="C6" s="212"/>
      <c r="D6" s="212"/>
      <c r="E6" s="226" t="s">
        <v>16</v>
      </c>
      <c r="F6" s="227"/>
      <c r="G6" s="228" t="str">
        <f>README!I10</f>
        <v>Core Group</v>
      </c>
      <c r="H6" s="228"/>
      <c r="I6" s="228"/>
      <c r="J6" s="181"/>
    </row>
    <row r="7" spans="1:10" ht="15">
      <c r="A7" s="210"/>
      <c r="B7" s="210"/>
      <c r="C7" s="210"/>
      <c r="D7" s="210"/>
      <c r="E7" s="210"/>
      <c r="F7" s="210"/>
      <c r="G7" s="210"/>
      <c r="H7" s="210"/>
      <c r="I7" s="210"/>
      <c r="J7" s="181"/>
    </row>
    <row r="8" spans="1:10" ht="15">
      <c r="A8" s="359" t="s">
        <v>76</v>
      </c>
      <c r="B8" s="82">
        <v>2015</v>
      </c>
      <c r="C8" s="82">
        <v>2016</v>
      </c>
      <c r="D8" s="82">
        <v>2017</v>
      </c>
      <c r="E8" s="82">
        <v>2018</v>
      </c>
      <c r="F8" s="82">
        <v>2019</v>
      </c>
      <c r="G8" s="82">
        <v>2020</v>
      </c>
      <c r="H8" s="82">
        <v>2021</v>
      </c>
      <c r="I8" s="82">
        <v>2022</v>
      </c>
      <c r="J8" s="27" t="s">
        <v>77</v>
      </c>
    </row>
    <row r="9" spans="1:17" s="215" customFormat="1" ht="15">
      <c r="A9" s="213" t="s">
        <v>283</v>
      </c>
      <c r="B9" s="137">
        <f>'GGO (SQ)'!L13</f>
        <v>2105.6352664299284</v>
      </c>
      <c r="C9" s="138">
        <f>'GGO (SQ)'!M13</f>
        <v>2327.6202281976525</v>
      </c>
      <c r="D9" s="138">
        <f>'GGO (SQ)'!N13</f>
        <v>2588.2622290640675</v>
      </c>
      <c r="E9" s="138">
        <f>'GGO (SQ)'!O13</f>
        <v>2878.8687246021836</v>
      </c>
      <c r="F9" s="138">
        <f>'GGO (SQ)'!P13</f>
        <v>3198.7337223272116</v>
      </c>
      <c r="G9" s="138">
        <f>'GGO (SQ)'!Q13</f>
        <v>3549.638885433636</v>
      </c>
      <c r="H9" s="138">
        <f>'GGO (SQ)'!R13</f>
        <v>3802.5045344684127</v>
      </c>
      <c r="I9" s="139">
        <f>'GGO (SQ)'!S13</f>
        <v>4072.935361399802</v>
      </c>
      <c r="J9" s="181"/>
      <c r="K9" s="214"/>
      <c r="L9" s="214"/>
      <c r="M9" s="214"/>
      <c r="N9" s="214"/>
      <c r="O9" s="214"/>
      <c r="P9" s="214"/>
      <c r="Q9" s="214"/>
    </row>
    <row r="10" spans="1:17" s="215" customFormat="1" ht="15">
      <c r="A10" s="217" t="s">
        <v>284</v>
      </c>
      <c r="B10" s="191">
        <f>'GGO (SQ)'!L24</f>
        <v>2162.0661609547255</v>
      </c>
      <c r="C10" s="194">
        <f>'GGO (SQ)'!M24</f>
        <v>2363.5421046345573</v>
      </c>
      <c r="D10" s="194">
        <f>'GGO (SQ)'!N24</f>
        <v>2599.429895878423</v>
      </c>
      <c r="E10" s="194">
        <f>'GGO (SQ)'!O24</f>
        <v>2859.9759350729782</v>
      </c>
      <c r="F10" s="194">
        <f>'GGO (SQ)'!P24</f>
        <v>3143.6937726960587</v>
      </c>
      <c r="G10" s="194">
        <f>'GGO (SQ)'!Q24</f>
        <v>3451.5789236909136</v>
      </c>
      <c r="H10" s="194">
        <f>'GGO (SQ)'!R24</f>
        <v>3658.673659112369</v>
      </c>
      <c r="I10" s="195">
        <f>'GGO (SQ)'!S24</f>
        <v>3878.1940786591113</v>
      </c>
      <c r="J10" s="181"/>
      <c r="K10" s="214"/>
      <c r="L10" s="214"/>
      <c r="M10" s="214"/>
      <c r="N10" s="214"/>
      <c r="O10" s="214"/>
      <c r="P10" s="214"/>
      <c r="Q10" s="214"/>
    </row>
    <row r="11" spans="1:17" s="215" customFormat="1" ht="15">
      <c r="A11" s="217" t="s">
        <v>395</v>
      </c>
      <c r="B11" s="722">
        <f>B9-B10</f>
        <v>-56.43089452479717</v>
      </c>
      <c r="C11" s="723">
        <f aca="true" t="shared" si="0" ref="C11:I11">C9-C10</f>
        <v>-35.92187643690477</v>
      </c>
      <c r="D11" s="723">
        <f t="shared" si="0"/>
        <v>-11.16766681435547</v>
      </c>
      <c r="E11" s="723">
        <f t="shared" si="0"/>
        <v>18.892789529205402</v>
      </c>
      <c r="F11" s="723">
        <f t="shared" si="0"/>
        <v>55.03994963115292</v>
      </c>
      <c r="G11" s="723">
        <f t="shared" si="0"/>
        <v>98.05996174272241</v>
      </c>
      <c r="H11" s="723">
        <f t="shared" si="0"/>
        <v>143.83087535604363</v>
      </c>
      <c r="I11" s="724">
        <f t="shared" si="0"/>
        <v>194.74128274069062</v>
      </c>
      <c r="J11" s="181"/>
      <c r="K11" s="214"/>
      <c r="L11" s="214"/>
      <c r="M11" s="214"/>
      <c r="N11" s="214"/>
      <c r="O11" s="214"/>
      <c r="P11" s="214"/>
      <c r="Q11" s="214"/>
    </row>
    <row r="12" spans="1:17" s="215" customFormat="1" ht="15">
      <c r="A12" s="217" t="s">
        <v>396</v>
      </c>
      <c r="B12" s="722">
        <f>B9-(B10*(1+Summary!B142))</f>
        <v>-56.43089452479717</v>
      </c>
      <c r="C12" s="723">
        <f>C9-(C10*(1+Summary!C142))</f>
        <v>-35.92187643690477</v>
      </c>
      <c r="D12" s="723">
        <f>D9-(D10*(1+Summary!D142))</f>
        <v>-51.7719755172061</v>
      </c>
      <c r="E12" s="723">
        <f>E9-(E10*(1+Summary!E142))</f>
        <v>-48.194477717000154</v>
      </c>
      <c r="F12" s="723">
        <f>F9-(F10*(1+Summary!F142))</f>
        <v>-40.832804952695824</v>
      </c>
      <c r="G12" s="723">
        <f>G9-(G10*(1+Summary!G142))</f>
        <v>-28.794351238128</v>
      </c>
      <c r="H12" s="723">
        <f>H9-(H10*(1+Summary!H142))</f>
        <v>11.057596796606049</v>
      </c>
      <c r="I12" s="724">
        <f>I9-(I10*(1+Summary!I142))</f>
        <v>32.46534264968841</v>
      </c>
      <c r="J12" s="181"/>
      <c r="K12" s="214"/>
      <c r="L12" s="214"/>
      <c r="M12" s="214"/>
      <c r="N12" s="214"/>
      <c r="O12" s="214"/>
      <c r="P12" s="214"/>
      <c r="Q12" s="214"/>
    </row>
    <row r="13" spans="1:17" s="215" customFormat="1" ht="15">
      <c r="A13" s="217" t="s">
        <v>397</v>
      </c>
      <c r="B13" s="722">
        <f>B9-(B10*(1+Summary!B150))</f>
        <v>-56.43089452479717</v>
      </c>
      <c r="C13" s="723">
        <f>C9-(C10*(1+Summary!C150))</f>
        <v>-35.92187643690477</v>
      </c>
      <c r="D13" s="723">
        <f>D9-(D10*(1+Summary!D150))</f>
        <v>-136.01598960983574</v>
      </c>
      <c r="E13" s="723">
        <f>E9-(E10*(1+Summary!E150))</f>
        <v>-147.48612828880596</v>
      </c>
      <c r="F13" s="723">
        <f>F9-(F10*(1+Summary!F150))</f>
        <v>-156.58750799668087</v>
      </c>
      <c r="G13" s="723">
        <f>G9-(G10*(1+Summary!G150))</f>
        <v>-162.00620170394677</v>
      </c>
      <c r="H13" s="723">
        <f>H9-(H10*(1+Summary!H150))</f>
        <v>-127.56895732551538</v>
      </c>
      <c r="I13" s="724">
        <f>I9-(I10*(1+Summary!I150))</f>
        <v>-129.99082685910253</v>
      </c>
      <c r="J13" s="181"/>
      <c r="K13" s="214"/>
      <c r="L13" s="214"/>
      <c r="M13" s="214"/>
      <c r="N13" s="214"/>
      <c r="O13" s="214"/>
      <c r="P13" s="214"/>
      <c r="Q13" s="214"/>
    </row>
    <row r="14" spans="1:17" s="215" customFormat="1" ht="15">
      <c r="A14" s="217"/>
      <c r="B14" s="722"/>
      <c r="C14" s="723"/>
      <c r="D14" s="723"/>
      <c r="E14" s="723"/>
      <c r="F14" s="723"/>
      <c r="G14" s="723"/>
      <c r="H14" s="723"/>
      <c r="I14" s="724"/>
      <c r="J14" s="181"/>
      <c r="K14" s="214"/>
      <c r="L14" s="214"/>
      <c r="M14" s="214"/>
      <c r="N14" s="214"/>
      <c r="O14" s="214"/>
      <c r="P14" s="214"/>
      <c r="Q14" s="214"/>
    </row>
    <row r="15" spans="1:10" ht="15">
      <c r="A15" s="217" t="s">
        <v>401</v>
      </c>
      <c r="B15" s="82">
        <v>2015</v>
      </c>
      <c r="C15" s="82">
        <v>2016</v>
      </c>
      <c r="D15" s="82">
        <v>2017</v>
      </c>
      <c r="E15" s="82">
        <v>2018</v>
      </c>
      <c r="F15" s="82">
        <v>2019</v>
      </c>
      <c r="G15" s="82">
        <v>2020</v>
      </c>
      <c r="H15" s="82">
        <v>2021</v>
      </c>
      <c r="I15" s="82">
        <v>2022</v>
      </c>
      <c r="J15" s="181"/>
    </row>
    <row r="16" spans="1:9" s="41" customFormat="1" ht="15">
      <c r="A16" s="217" t="s">
        <v>402</v>
      </c>
      <c r="B16" s="357">
        <f>'GGO (SQ)'!L26/ECO!L$66</f>
        <v>-0.004093805830073055</v>
      </c>
      <c r="C16" s="250">
        <f>'GGO (SQ)'!M26/ECO!M$66</f>
        <v>-0.0023838282186390346</v>
      </c>
      <c r="D16" s="250">
        <f>'GGO (SQ)'!N26/ECO!N$66</f>
        <v>-0.0006738506072050265</v>
      </c>
      <c r="E16" s="250">
        <f>'GGO (SQ)'!O26/ECO!O$66</f>
        <v>0.0010361270042288692</v>
      </c>
      <c r="F16" s="250">
        <f>'GGO (SQ)'!P26/ECO!P$66</f>
        <v>0.002746104615662895</v>
      </c>
      <c r="G16" s="250">
        <f>'GGO (SQ)'!Q26/ECO!Q$66</f>
        <v>0.00445608222709689</v>
      </c>
      <c r="H16" s="250">
        <f>'GGO (SQ)'!R26/ECO!R$66</f>
        <v>0.006166059838530864</v>
      </c>
      <c r="I16" s="251">
        <f>'GGO (SQ)'!S26/ECO!S$66</f>
        <v>0.007876037449964879</v>
      </c>
    </row>
    <row r="17" spans="1:9" s="41" customFormat="1" ht="15">
      <c r="A17" s="217" t="s">
        <v>403</v>
      </c>
      <c r="B17" s="357">
        <f>B16-Summary!B52</f>
        <v>-0.004093805830073055</v>
      </c>
      <c r="C17" s="250">
        <f>C16-Summary!C52</f>
        <v>-0.0023838282186390346</v>
      </c>
      <c r="D17" s="250">
        <f>D16-Summary!D52</f>
        <v>-0.003123891294252088</v>
      </c>
      <c r="E17" s="250">
        <f>E16-Summary!E52</f>
        <v>-0.0026431035893401435</v>
      </c>
      <c r="F17" s="250">
        <f>F16-Summary!F52</f>
        <v>-0.002037268473218095</v>
      </c>
      <c r="G17" s="250">
        <f>G16-Summary!G52</f>
        <v>-0.001308485079054492</v>
      </c>
      <c r="H17" s="250">
        <f>H16-Summary!H52</f>
        <v>0.00047404149734498694</v>
      </c>
      <c r="I17" s="251">
        <f>I16-Summary!I52</f>
        <v>0.0013130151498250376</v>
      </c>
    </row>
    <row r="18" spans="1:9" s="41" customFormat="1" ht="15">
      <c r="A18" s="219" t="s">
        <v>404</v>
      </c>
      <c r="B18" s="358">
        <f>B16-Summary!B60</f>
        <v>-0.004093805830073055</v>
      </c>
      <c r="C18" s="252">
        <f>C16-Summary!C60</f>
        <v>-0.0023838282186390346</v>
      </c>
      <c r="D18" s="252">
        <f>D16-Summary!D60</f>
        <v>-0.00825005766577629</v>
      </c>
      <c r="E18" s="252">
        <f>E16-Summary!E60</f>
        <v>-0.008129089065072424</v>
      </c>
      <c r="F18" s="252">
        <f>F16-Summary!F60</f>
        <v>-0.007851001070636549</v>
      </c>
      <c r="G18" s="252">
        <f>G16-Summary!G60</f>
        <v>-0.00739829288559098</v>
      </c>
      <c r="H18" s="252">
        <f>H16-Summary!H60</f>
        <v>-0.0055045228884216795</v>
      </c>
      <c r="I18" s="253">
        <f>I16-Summary!I60</f>
        <v>-0.005298304273538487</v>
      </c>
    </row>
    <row r="19" spans="1:10" ht="15">
      <c r="A19" s="181"/>
      <c r="B19" s="222"/>
      <c r="C19" s="222"/>
      <c r="D19" s="222"/>
      <c r="E19" s="222"/>
      <c r="F19" s="222"/>
      <c r="G19" s="222"/>
      <c r="H19" s="222"/>
      <c r="I19" s="222"/>
      <c r="J19" s="181"/>
    </row>
    <row r="20" spans="1:10" ht="15">
      <c r="A20" s="181"/>
      <c r="B20" s="181"/>
      <c r="C20" s="181"/>
      <c r="D20" s="181"/>
      <c r="E20" s="181"/>
      <c r="F20" s="181"/>
      <c r="G20" s="181"/>
      <c r="H20" s="181"/>
      <c r="I20" s="181"/>
      <c r="J20" s="181"/>
    </row>
    <row r="21" spans="1:10" ht="15">
      <c r="A21" s="181"/>
      <c r="B21" s="735"/>
      <c r="C21" s="735"/>
      <c r="D21" s="735"/>
      <c r="E21" s="735"/>
      <c r="F21" s="735"/>
      <c r="G21" s="735"/>
      <c r="H21" s="735"/>
      <c r="I21" s="735"/>
      <c r="J21" s="181"/>
    </row>
    <row r="22" spans="1:10" ht="15">
      <c r="A22" s="181"/>
      <c r="B22" s="223"/>
      <c r="C22" s="223"/>
      <c r="D22" s="223"/>
      <c r="E22" s="223"/>
      <c r="F22" s="223"/>
      <c r="G22" s="223"/>
      <c r="H22" s="223"/>
      <c r="I22" s="223"/>
      <c r="J22" s="181"/>
    </row>
    <row r="23" spans="1:10" ht="15">
      <c r="A23" s="181"/>
      <c r="B23" s="736"/>
      <c r="C23" s="736"/>
      <c r="D23" s="736"/>
      <c r="E23" s="736"/>
      <c r="F23" s="736"/>
      <c r="G23" s="736"/>
      <c r="H23" s="736"/>
      <c r="I23" s="736"/>
      <c r="J23" s="181"/>
    </row>
    <row r="24" spans="1:10" ht="15">
      <c r="A24" s="181"/>
      <c r="B24" s="181"/>
      <c r="C24" s="181"/>
      <c r="D24" s="181"/>
      <c r="E24" s="181"/>
      <c r="F24" s="181"/>
      <c r="G24" s="181"/>
      <c r="H24" s="181"/>
      <c r="I24" s="181"/>
      <c r="J24" s="181"/>
    </row>
    <row r="25" spans="1:10" ht="15">
      <c r="A25" s="181"/>
      <c r="B25" s="181"/>
      <c r="C25" s="181"/>
      <c r="D25" s="181"/>
      <c r="E25" s="181"/>
      <c r="F25" s="181"/>
      <c r="G25" s="181"/>
      <c r="H25" s="181"/>
      <c r="I25" s="181"/>
      <c r="J25" s="181"/>
    </row>
    <row r="26" spans="1:10" ht="15">
      <c r="A26" s="181"/>
      <c r="B26" s="181"/>
      <c r="C26" s="181"/>
      <c r="D26" s="181"/>
      <c r="E26" s="181"/>
      <c r="F26" s="181"/>
      <c r="G26" s="181"/>
      <c r="H26" s="181"/>
      <c r="I26" s="181"/>
      <c r="J26" s="181"/>
    </row>
    <row r="27" spans="1:10" ht="15">
      <c r="A27" s="181"/>
      <c r="B27" s="181"/>
      <c r="C27" s="181"/>
      <c r="D27" s="181"/>
      <c r="E27" s="181"/>
      <c r="F27" s="181"/>
      <c r="G27" s="181"/>
      <c r="H27" s="181"/>
      <c r="I27" s="181"/>
      <c r="J27" s="181"/>
    </row>
    <row r="28" spans="1:10" ht="15">
      <c r="A28" s="181"/>
      <c r="B28" s="181"/>
      <c r="C28" s="181"/>
      <c r="D28" s="181"/>
      <c r="E28" s="181"/>
      <c r="F28" s="181"/>
      <c r="G28" s="181"/>
      <c r="H28" s="181"/>
      <c r="I28" s="181"/>
      <c r="J28" s="181"/>
    </row>
    <row r="29" spans="1:10" ht="15">
      <c r="A29" s="181"/>
      <c r="B29" s="181"/>
      <c r="C29" s="181"/>
      <c r="D29" s="181"/>
      <c r="E29" s="181"/>
      <c r="F29" s="181"/>
      <c r="G29" s="181"/>
      <c r="H29" s="181"/>
      <c r="I29" s="181"/>
      <c r="J29" s="181"/>
    </row>
    <row r="30" spans="1:10" ht="15">
      <c r="A30" s="181"/>
      <c r="B30" s="181"/>
      <c r="C30" s="181"/>
      <c r="D30" s="181"/>
      <c r="E30" s="181"/>
      <c r="F30" s="181"/>
      <c r="G30" s="181"/>
      <c r="H30" s="181"/>
      <c r="I30" s="181"/>
      <c r="J30" s="181"/>
    </row>
    <row r="31" spans="1:18" ht="15">
      <c r="A31" s="181"/>
      <c r="B31" s="181"/>
      <c r="C31" s="181"/>
      <c r="D31" s="181"/>
      <c r="E31" s="181"/>
      <c r="F31" s="181"/>
      <c r="G31" s="181"/>
      <c r="H31" s="181"/>
      <c r="I31" s="181"/>
      <c r="J31" s="181"/>
      <c r="K31" s="181"/>
      <c r="L31" s="181"/>
      <c r="M31" s="181"/>
      <c r="N31" s="181"/>
      <c r="O31" s="181"/>
      <c r="P31" s="181"/>
      <c r="Q31" s="181"/>
      <c r="R31" s="181"/>
    </row>
    <row r="32" spans="1:10" ht="15">
      <c r="A32" s="181"/>
      <c r="B32" s="181"/>
      <c r="C32" s="181"/>
      <c r="D32" s="181"/>
      <c r="E32" s="181"/>
      <c r="F32" s="181"/>
      <c r="G32" s="181"/>
      <c r="H32" s="181"/>
      <c r="I32" s="181"/>
      <c r="J32" s="181"/>
    </row>
    <row r="33" spans="1:10" ht="15">
      <c r="A33" s="181"/>
      <c r="B33" s="181"/>
      <c r="C33" s="181"/>
      <c r="D33" s="181"/>
      <c r="E33" s="181"/>
      <c r="F33" s="181"/>
      <c r="G33" s="181"/>
      <c r="H33" s="181"/>
      <c r="I33" s="181"/>
      <c r="J33" s="181"/>
    </row>
    <row r="34" spans="1:10" ht="15">
      <c r="A34" s="181"/>
      <c r="B34" s="181"/>
      <c r="C34" s="181"/>
      <c r="D34" s="181"/>
      <c r="E34" s="181"/>
      <c r="F34" s="181"/>
      <c r="G34" s="181"/>
      <c r="H34" s="181"/>
      <c r="I34" s="181"/>
      <c r="J34" s="181"/>
    </row>
    <row r="35" spans="1:10" ht="15">
      <c r="A35" s="181"/>
      <c r="B35" s="181"/>
      <c r="C35" s="181"/>
      <c r="D35" s="181"/>
      <c r="E35" s="181"/>
      <c r="F35" s="181"/>
      <c r="G35" s="181"/>
      <c r="H35" s="181"/>
      <c r="I35" s="181"/>
      <c r="J35" s="181"/>
    </row>
    <row r="36" spans="1:10" ht="15">
      <c r="A36" s="181"/>
      <c r="B36" s="181"/>
      <c r="C36" s="181"/>
      <c r="D36" s="181"/>
      <c r="E36" s="181"/>
      <c r="F36" s="181"/>
      <c r="G36" s="181"/>
      <c r="H36" s="181"/>
      <c r="I36" s="181"/>
      <c r="J36" s="181"/>
    </row>
    <row r="37" spans="1:10" ht="15">
      <c r="A37" s="181"/>
      <c r="B37" s="181"/>
      <c r="C37" s="181"/>
      <c r="D37" s="181"/>
      <c r="E37" s="181"/>
      <c r="F37" s="181"/>
      <c r="G37" s="181"/>
      <c r="H37" s="181"/>
      <c r="I37" s="181"/>
      <c r="J37" s="181"/>
    </row>
    <row r="38" spans="1:10" ht="15">
      <c r="A38" s="181"/>
      <c r="B38" s="181"/>
      <c r="C38" s="181"/>
      <c r="D38" s="181"/>
      <c r="E38" s="181"/>
      <c r="F38" s="181"/>
      <c r="G38" s="181"/>
      <c r="H38" s="181"/>
      <c r="I38" s="181"/>
      <c r="J38" s="181"/>
    </row>
    <row r="39" spans="1:10" ht="15">
      <c r="A39" s="181"/>
      <c r="B39" s="181"/>
      <c r="C39" s="181"/>
      <c r="D39" s="181"/>
      <c r="E39" s="181"/>
      <c r="F39" s="181"/>
      <c r="G39" s="181"/>
      <c r="H39" s="181"/>
      <c r="I39" s="181"/>
      <c r="J39" s="181"/>
    </row>
    <row r="40" spans="1:10" ht="15">
      <c r="A40" s="181"/>
      <c r="B40" s="181"/>
      <c r="C40" s="181"/>
      <c r="D40" s="181"/>
      <c r="E40" s="181"/>
      <c r="F40" s="181"/>
      <c r="G40" s="181"/>
      <c r="H40" s="181"/>
      <c r="I40" s="181"/>
      <c r="J40" s="181"/>
    </row>
    <row r="41" spans="1:9" ht="15">
      <c r="A41" s="218"/>
      <c r="B41" s="82">
        <v>2015</v>
      </c>
      <c r="C41" s="82">
        <v>2016</v>
      </c>
      <c r="D41" s="82">
        <v>2017</v>
      </c>
      <c r="E41" s="82">
        <v>2018</v>
      </c>
      <c r="F41" s="82">
        <v>2019</v>
      </c>
      <c r="G41" s="82">
        <v>2020</v>
      </c>
      <c r="H41" s="82">
        <v>2021</v>
      </c>
      <c r="I41" s="82">
        <v>2022</v>
      </c>
    </row>
    <row r="42" spans="1:9" ht="15">
      <c r="A42" s="217" t="s">
        <v>80</v>
      </c>
      <c r="B42" s="357">
        <v>0.00580378344150703</v>
      </c>
      <c r="C42" s="250">
        <v>0.005803783441507</v>
      </c>
      <c r="D42" s="250">
        <v>0.00580378344150701</v>
      </c>
      <c r="E42" s="250">
        <v>0.00580378344150707</v>
      </c>
      <c r="F42" s="250">
        <v>-0.005803783441507028</v>
      </c>
      <c r="G42" s="250">
        <v>-0.005803783441507055</v>
      </c>
      <c r="H42" s="250">
        <v>-0.005803783441507051</v>
      </c>
      <c r="I42" s="251">
        <v>-0.005803783441507039</v>
      </c>
    </row>
    <row r="43" spans="1:9" ht="15">
      <c r="A43" s="217" t="s">
        <v>79</v>
      </c>
      <c r="B43" s="357">
        <v>0.0149198751730936</v>
      </c>
      <c r="C43" s="250">
        <v>0.0163089032119085</v>
      </c>
      <c r="D43" s="250">
        <v>0.0171546901150209</v>
      </c>
      <c r="E43" s="250">
        <v>0.0179961035423472</v>
      </c>
      <c r="F43" s="250">
        <v>-0.017329333769227052</v>
      </c>
      <c r="G43" s="250">
        <v>-0.016814844049489068</v>
      </c>
      <c r="H43" s="250">
        <v>-0.016691688970946174</v>
      </c>
      <c r="I43" s="251">
        <v>-0.01656588473946819</v>
      </c>
    </row>
    <row r="44" spans="1:9" ht="15">
      <c r="A44" s="219" t="s">
        <v>78</v>
      </c>
      <c r="B44" s="358">
        <v>0.0221046892226115</v>
      </c>
      <c r="C44" s="252">
        <v>0.0246589173541691</v>
      </c>
      <c r="D44" s="252">
        <v>0.0264132991682606</v>
      </c>
      <c r="E44" s="252">
        <v>-0.0280314998143413</v>
      </c>
      <c r="F44" s="252">
        <v>-0.026764995551864262</v>
      </c>
      <c r="G44" s="252">
        <v>-0.025861734646687964</v>
      </c>
      <c r="H44" s="252">
        <v>-0.025545176209017563</v>
      </c>
      <c r="I44" s="253">
        <v>-0.025218238487006866</v>
      </c>
    </row>
  </sheetData>
  <sheetProtection formatCells="0" formatColumns="0" formatRows="0" insertColumns="0" insertRows="0" insertHyperlinks="0" deleteColumns="0" deleteRows="0" pivotTables="0"/>
  <mergeCells count="2">
    <mergeCell ref="F4:G4"/>
    <mergeCell ref="F5:G5"/>
  </mergeCells>
  <printOptions/>
  <pageMargins left="0.7" right="0.7" top="0.75" bottom="0.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000396251678"/>
  </sheetPr>
  <dimension ref="A1:Z208"/>
  <sheetViews>
    <sheetView zoomScale="80" zoomScaleNormal="80" workbookViewId="0" topLeftCell="F113">
      <selection activeCell="T133" sqref="T133"/>
    </sheetView>
  </sheetViews>
  <sheetFormatPr defaultColWidth="9.140625" defaultRowHeight="15"/>
  <cols>
    <col min="1" max="1" width="35.28125" style="254" bestFit="1" customWidth="1"/>
    <col min="2" max="10" width="8.8515625" style="254" customWidth="1"/>
    <col min="11" max="11" width="9.28125" style="254" bestFit="1" customWidth="1"/>
    <col min="12" max="17" width="8.8515625" style="254" customWidth="1"/>
    <col min="18" max="18" width="9.140625" style="254" customWidth="1"/>
    <col min="19" max="19" width="10.00390625" style="254" customWidth="1"/>
    <col min="20" max="20" width="11.140625" style="254" customWidth="1"/>
    <col min="21" max="25" width="9.140625" style="254" customWidth="1"/>
    <col min="26" max="26" width="45.57421875" style="254" customWidth="1"/>
    <col min="27" max="16384" width="9.140625" style="254" customWidth="1"/>
  </cols>
  <sheetData>
    <row r="1" spans="5:25" ht="15">
      <c r="E1" s="254">
        <v>1</v>
      </c>
      <c r="F1" s="254">
        <v>2</v>
      </c>
      <c r="G1" s="254">
        <v>3</v>
      </c>
      <c r="H1" s="254">
        <v>4</v>
      </c>
      <c r="I1" s="254">
        <v>5</v>
      </c>
      <c r="J1" s="254">
        <v>6</v>
      </c>
      <c r="K1" s="254">
        <v>7</v>
      </c>
      <c r="L1" s="254">
        <v>8</v>
      </c>
      <c r="M1" s="254">
        <v>9</v>
      </c>
      <c r="N1" s="254">
        <v>10</v>
      </c>
      <c r="O1" s="254">
        <v>11</v>
      </c>
      <c r="P1" s="254">
        <v>12</v>
      </c>
      <c r="Q1" s="254">
        <v>13</v>
      </c>
      <c r="R1" s="254">
        <v>14</v>
      </c>
      <c r="S1" s="254">
        <v>15</v>
      </c>
      <c r="T1" s="254">
        <v>16</v>
      </c>
      <c r="U1" s="254">
        <v>17</v>
      </c>
      <c r="V1" s="254">
        <v>18</v>
      </c>
      <c r="W1" s="254">
        <v>19</v>
      </c>
      <c r="X1" s="254">
        <v>20</v>
      </c>
      <c r="Y1" s="254">
        <v>21</v>
      </c>
    </row>
    <row r="2" spans="1:26" ht="15">
      <c r="A2" s="259" t="s">
        <v>76</v>
      </c>
      <c r="B2" s="116">
        <v>2005</v>
      </c>
      <c r="C2" s="116">
        <v>2006</v>
      </c>
      <c r="D2" s="116">
        <v>2007</v>
      </c>
      <c r="E2" s="116">
        <v>2008</v>
      </c>
      <c r="F2" s="116">
        <v>2009</v>
      </c>
      <c r="G2" s="116">
        <v>2010</v>
      </c>
      <c r="H2" s="116">
        <v>2011</v>
      </c>
      <c r="I2" s="116">
        <v>2012</v>
      </c>
      <c r="J2" s="116">
        <v>2013</v>
      </c>
      <c r="K2" s="116">
        <v>2014</v>
      </c>
      <c r="L2" s="116">
        <v>2015</v>
      </c>
      <c r="M2" s="116">
        <v>2016</v>
      </c>
      <c r="N2" s="116">
        <v>2017</v>
      </c>
      <c r="O2" s="116">
        <v>2018</v>
      </c>
      <c r="P2" s="116">
        <v>2019</v>
      </c>
      <c r="Q2" s="116">
        <v>2020</v>
      </c>
      <c r="R2" s="116">
        <v>2021</v>
      </c>
      <c r="S2" s="116">
        <v>2022</v>
      </c>
      <c r="T2" s="116">
        <v>2023</v>
      </c>
      <c r="U2" s="116">
        <v>2024</v>
      </c>
      <c r="V2" s="116">
        <v>2025</v>
      </c>
      <c r="W2" s="116">
        <v>2026</v>
      </c>
      <c r="X2" s="116">
        <v>2027</v>
      </c>
      <c r="Y2" s="116">
        <v>2028</v>
      </c>
      <c r="Z2" s="455" t="s">
        <v>77</v>
      </c>
    </row>
    <row r="3" spans="1:26" ht="15">
      <c r="A3" s="255" t="s">
        <v>119</v>
      </c>
      <c r="B3" s="256">
        <f>ECO!B37</f>
        <v>0.21</v>
      </c>
      <c r="C3" s="257">
        <f>ECO!C37</f>
        <v>0.226</v>
      </c>
      <c r="D3" s="257">
        <f>ECO!D37</f>
        <v>0.201</v>
      </c>
      <c r="E3" s="257">
        <f>ECO!E37</f>
        <v>0.193</v>
      </c>
      <c r="F3" s="257">
        <f>ECO!F37</f>
        <v>0.191</v>
      </c>
      <c r="G3" s="257">
        <f>ECO!G37</f>
        <v>0.188</v>
      </c>
      <c r="H3" s="257">
        <f>ECO!H37</f>
        <v>0.193</v>
      </c>
      <c r="I3" s="257">
        <f>ECO!I37</f>
        <v>0.2</v>
      </c>
      <c r="J3" s="257">
        <f>ECO!J37</f>
        <v>0.19</v>
      </c>
      <c r="K3" s="361">
        <f>ECO!K37</f>
        <v>0.184</v>
      </c>
      <c r="L3" s="258">
        <f aca="true" t="shared" si="0" ref="L3:S3">-0.0039*L1+0.2168</f>
        <v>0.1856</v>
      </c>
      <c r="M3" s="258">
        <f t="shared" si="0"/>
        <v>0.1817</v>
      </c>
      <c r="N3" s="258">
        <f t="shared" si="0"/>
        <v>0.17779999999999999</v>
      </c>
      <c r="O3" s="258">
        <f t="shared" si="0"/>
        <v>0.1739</v>
      </c>
      <c r="P3" s="258">
        <f t="shared" si="0"/>
        <v>0.16999999999999998</v>
      </c>
      <c r="Q3" s="258">
        <f t="shared" si="0"/>
        <v>0.1661</v>
      </c>
      <c r="R3" s="258">
        <f t="shared" si="0"/>
        <v>0.1622</v>
      </c>
      <c r="S3" s="258">
        <f t="shared" si="0"/>
        <v>0.1583</v>
      </c>
      <c r="T3" s="258">
        <f aca="true" t="shared" si="1" ref="T3:Y3">-0.0039*T1+0.2168</f>
        <v>0.15439999999999998</v>
      </c>
      <c r="U3" s="258">
        <f t="shared" si="1"/>
        <v>0.1505</v>
      </c>
      <c r="V3" s="258">
        <f t="shared" si="1"/>
        <v>0.1466</v>
      </c>
      <c r="W3" s="258">
        <f t="shared" si="1"/>
        <v>0.1427</v>
      </c>
      <c r="X3" s="258">
        <f t="shared" si="1"/>
        <v>0.13879999999999998</v>
      </c>
      <c r="Y3" s="260">
        <f t="shared" si="1"/>
        <v>0.1349</v>
      </c>
      <c r="Z3" s="254" t="s">
        <v>433</v>
      </c>
    </row>
    <row r="4" spans="12:17" ht="15">
      <c r="L4" s="390"/>
      <c r="M4" s="390"/>
      <c r="N4" s="390"/>
      <c r="O4" s="390"/>
      <c r="P4" s="390"/>
      <c r="Q4" s="390"/>
    </row>
    <row r="5" ht="14.25"/>
    <row r="21" ht="14.25"/>
    <row r="22" spans="2:25" ht="15">
      <c r="B22" s="254">
        <v>1</v>
      </c>
      <c r="C22" s="254">
        <v>2</v>
      </c>
      <c r="D22" s="254">
        <v>3</v>
      </c>
      <c r="E22" s="254">
        <v>4</v>
      </c>
      <c r="F22" s="254">
        <v>5</v>
      </c>
      <c r="G22" s="254">
        <v>6</v>
      </c>
      <c r="H22" s="254">
        <v>7</v>
      </c>
      <c r="I22" s="254">
        <v>8</v>
      </c>
      <c r="J22" s="254">
        <v>9</v>
      </c>
      <c r="K22" s="254">
        <v>10</v>
      </c>
      <c r="L22" s="254">
        <v>11</v>
      </c>
      <c r="M22" s="254">
        <v>12</v>
      </c>
      <c r="N22" s="254">
        <v>13</v>
      </c>
      <c r="O22" s="254">
        <v>14</v>
      </c>
      <c r="P22" s="254">
        <v>15</v>
      </c>
      <c r="Q22" s="254">
        <v>16</v>
      </c>
      <c r="R22" s="254">
        <v>17</v>
      </c>
      <c r="S22" s="254">
        <v>18</v>
      </c>
      <c r="T22" s="254">
        <v>19</v>
      </c>
      <c r="U22" s="254">
        <v>20</v>
      </c>
      <c r="V22" s="254">
        <v>21</v>
      </c>
      <c r="W22" s="254">
        <v>22</v>
      </c>
      <c r="X22" s="254">
        <v>23</v>
      </c>
      <c r="Y22" s="254">
        <v>24</v>
      </c>
    </row>
    <row r="23" spans="1:26" ht="15">
      <c r="A23" s="261" t="s">
        <v>76</v>
      </c>
      <c r="B23" s="82">
        <v>2005</v>
      </c>
      <c r="C23" s="82">
        <v>2006</v>
      </c>
      <c r="D23" s="82">
        <v>2007</v>
      </c>
      <c r="E23" s="82">
        <v>2008</v>
      </c>
      <c r="F23" s="82">
        <v>2009</v>
      </c>
      <c r="G23" s="82">
        <v>2010</v>
      </c>
      <c r="H23" s="82">
        <v>2011</v>
      </c>
      <c r="I23" s="82">
        <v>2012</v>
      </c>
      <c r="J23" s="82">
        <v>2013</v>
      </c>
      <c r="K23" s="82">
        <v>2014</v>
      </c>
      <c r="L23" s="82">
        <v>2015</v>
      </c>
      <c r="M23" s="82">
        <v>2016</v>
      </c>
      <c r="N23" s="82">
        <v>2017</v>
      </c>
      <c r="O23" s="82">
        <v>2018</v>
      </c>
      <c r="P23" s="82">
        <v>2019</v>
      </c>
      <c r="Q23" s="82">
        <v>2020</v>
      </c>
      <c r="R23" s="82">
        <v>2021</v>
      </c>
      <c r="S23" s="82">
        <v>2022</v>
      </c>
      <c r="T23" s="116">
        <v>2023</v>
      </c>
      <c r="U23" s="116">
        <v>2024</v>
      </c>
      <c r="V23" s="116">
        <v>2025</v>
      </c>
      <c r="W23" s="116">
        <v>2026</v>
      </c>
      <c r="X23" s="116">
        <v>2027</v>
      </c>
      <c r="Y23" s="116">
        <v>2028</v>
      </c>
      <c r="Z23" s="455" t="s">
        <v>77</v>
      </c>
    </row>
    <row r="24" spans="1:26" ht="15">
      <c r="A24" s="362" t="s">
        <v>478</v>
      </c>
      <c r="B24" s="256">
        <f>ECO!B44</f>
        <v>0.4480240151022808</v>
      </c>
      <c r="C24" s="257">
        <f>ECO!C44</f>
        <v>0.44545900232871677</v>
      </c>
      <c r="D24" s="257">
        <f>ECO!D44</f>
        <v>0.4356972586412396</v>
      </c>
      <c r="E24" s="257">
        <f>ECO!E44</f>
        <v>0.4345976708028983</v>
      </c>
      <c r="F24" s="257">
        <f>ECO!F44</f>
        <v>0.4261715296198055</v>
      </c>
      <c r="G24" s="257">
        <f>ECO!G44</f>
        <v>0.4166782294990981</v>
      </c>
      <c r="H24" s="257">
        <f>ECO!H44</f>
        <v>0.4113787911378791</v>
      </c>
      <c r="I24" s="257">
        <f>ECO!I44</f>
        <v>0.39289893617021276</v>
      </c>
      <c r="J24" s="257">
        <v>0.382968676215961</v>
      </c>
      <c r="K24" s="361">
        <v>0.38899381646011744</v>
      </c>
      <c r="L24" s="258">
        <f>-0.0076*L22+0.4603</f>
        <v>0.3767</v>
      </c>
      <c r="M24" s="258">
        <f aca="true" t="shared" si="2" ref="M24:R24">-0.0076*M22+0.4603</f>
        <v>0.3691</v>
      </c>
      <c r="N24" s="258">
        <f t="shared" si="2"/>
        <v>0.3615</v>
      </c>
      <c r="O24" s="258">
        <f t="shared" si="2"/>
        <v>0.3539</v>
      </c>
      <c r="P24" s="258">
        <f t="shared" si="2"/>
        <v>0.3463</v>
      </c>
      <c r="Q24" s="258">
        <f t="shared" si="2"/>
        <v>0.3387</v>
      </c>
      <c r="R24" s="258">
        <f t="shared" si="2"/>
        <v>0.33109999999999995</v>
      </c>
      <c r="S24" s="258">
        <f>-0.0076*S22+0.4603</f>
        <v>0.3235</v>
      </c>
      <c r="T24" s="258">
        <f aca="true" t="shared" si="3" ref="T24:Y24">-0.0076*T22+0.4603</f>
        <v>0.31589999999999996</v>
      </c>
      <c r="U24" s="258">
        <f t="shared" si="3"/>
        <v>0.3083</v>
      </c>
      <c r="V24" s="258">
        <f t="shared" si="3"/>
        <v>0.30069999999999997</v>
      </c>
      <c r="W24" s="258">
        <f t="shared" si="3"/>
        <v>0.2931</v>
      </c>
      <c r="X24" s="258">
        <f t="shared" si="3"/>
        <v>0.2855</v>
      </c>
      <c r="Y24" s="258">
        <f t="shared" si="3"/>
        <v>0.2779</v>
      </c>
      <c r="Z24" s="254" t="s">
        <v>382</v>
      </c>
    </row>
    <row r="25" spans="12:19" ht="15">
      <c r="L25" s="390"/>
      <c r="M25" s="390"/>
      <c r="N25" s="390"/>
      <c r="O25" s="390"/>
      <c r="P25" s="390"/>
      <c r="Q25" s="390"/>
      <c r="R25" s="390"/>
      <c r="S25" s="390"/>
    </row>
    <row r="26" spans="2:25" ht="15">
      <c r="B26" s="254">
        <v>1</v>
      </c>
      <c r="C26" s="254">
        <v>2</v>
      </c>
      <c r="D26" s="254">
        <v>3</v>
      </c>
      <c r="E26" s="254">
        <v>4</v>
      </c>
      <c r="F26" s="254">
        <v>5</v>
      </c>
      <c r="G26" s="254">
        <v>6</v>
      </c>
      <c r="H26" s="254">
        <v>7</v>
      </c>
      <c r="I26" s="254">
        <v>8</v>
      </c>
      <c r="J26" s="254">
        <v>9</v>
      </c>
      <c r="K26" s="254">
        <v>10</v>
      </c>
      <c r="L26" s="254">
        <v>11</v>
      </c>
      <c r="M26" s="254">
        <v>12</v>
      </c>
      <c r="N26" s="254">
        <v>13</v>
      </c>
      <c r="O26" s="254">
        <v>14</v>
      </c>
      <c r="P26" s="254">
        <v>15</v>
      </c>
      <c r="Q26" s="254">
        <v>16</v>
      </c>
      <c r="R26" s="254">
        <v>17</v>
      </c>
      <c r="S26" s="254">
        <v>18</v>
      </c>
      <c r="T26" s="254">
        <v>19</v>
      </c>
      <c r="U26" s="254">
        <v>20</v>
      </c>
      <c r="V26" s="254">
        <v>21</v>
      </c>
      <c r="W26" s="254">
        <v>22</v>
      </c>
      <c r="X26" s="254">
        <v>23</v>
      </c>
      <c r="Y26" s="254">
        <v>24</v>
      </c>
    </row>
    <row r="27" spans="1:26" ht="11.25" customHeight="1">
      <c r="A27" s="261" t="s">
        <v>76</v>
      </c>
      <c r="B27" s="82">
        <v>2005</v>
      </c>
      <c r="C27" s="82">
        <v>2006</v>
      </c>
      <c r="D27" s="82">
        <v>2007</v>
      </c>
      <c r="E27" s="82">
        <v>2008</v>
      </c>
      <c r="F27" s="82">
        <v>2009</v>
      </c>
      <c r="G27" s="82">
        <v>2010</v>
      </c>
      <c r="H27" s="82">
        <v>2011</v>
      </c>
      <c r="I27" s="82">
        <v>2012</v>
      </c>
      <c r="J27" s="82">
        <v>2013</v>
      </c>
      <c r="K27" s="82">
        <v>2014</v>
      </c>
      <c r="L27" s="82">
        <v>2015</v>
      </c>
      <c r="M27" s="82">
        <v>2016</v>
      </c>
      <c r="N27" s="82">
        <v>2017</v>
      </c>
      <c r="O27" s="82">
        <v>2018</v>
      </c>
      <c r="P27" s="82">
        <v>2019</v>
      </c>
      <c r="Q27" s="82">
        <v>2020</v>
      </c>
      <c r="R27" s="82">
        <v>2021</v>
      </c>
      <c r="S27" s="82">
        <v>2022</v>
      </c>
      <c r="T27" s="116">
        <v>2023</v>
      </c>
      <c r="U27" s="116">
        <v>2024</v>
      </c>
      <c r="V27" s="116">
        <v>2025</v>
      </c>
      <c r="W27" s="116">
        <v>2026</v>
      </c>
      <c r="X27" s="116">
        <v>2027</v>
      </c>
      <c r="Y27" s="116">
        <v>2028</v>
      </c>
      <c r="Z27" s="455" t="s">
        <v>77</v>
      </c>
    </row>
    <row r="28" spans="1:26" ht="15">
      <c r="A28" s="382" t="s">
        <v>407</v>
      </c>
      <c r="B28" s="185">
        <f>ECO!B50</f>
        <v>0.5532671824272984</v>
      </c>
      <c r="C28" s="748">
        <f>ECO!C50</f>
        <v>0.534691154216536</v>
      </c>
      <c r="D28" s="748">
        <f>ECO!D50</f>
        <v>0.5279596498427028</v>
      </c>
      <c r="E28" s="748">
        <f>ECO!E50</f>
        <v>0.5068837664529193</v>
      </c>
      <c r="F28" s="748">
        <f>ECO!F50</f>
        <v>0.48363619328068536</v>
      </c>
      <c r="G28" s="748">
        <f>ECO!G50</f>
        <v>0.4737879453879454</v>
      </c>
      <c r="H28" s="748">
        <f>ECO!H50</f>
        <v>0.46029039215686274</v>
      </c>
      <c r="I28" s="748">
        <f>ECO!I50</f>
        <v>0.43515142489677117</v>
      </c>
      <c r="J28" s="775">
        <f>ECO!J50</f>
        <v>0.40549671187833947</v>
      </c>
      <c r="K28" s="778">
        <f>-0.0176*K26+0.575</f>
        <v>0.3989999999999999</v>
      </c>
      <c r="L28" s="779">
        <f aca="true" t="shared" si="4" ref="L28:Y28">-0.0176*L26+0.575</f>
        <v>0.38139999999999996</v>
      </c>
      <c r="M28" s="779">
        <f t="shared" si="4"/>
        <v>0.36379999999999996</v>
      </c>
      <c r="N28" s="779">
        <f t="shared" si="4"/>
        <v>0.34619999999999995</v>
      </c>
      <c r="O28" s="779">
        <f t="shared" si="4"/>
        <v>0.32859999999999995</v>
      </c>
      <c r="P28" s="779">
        <f t="shared" si="4"/>
        <v>0.31099999999999994</v>
      </c>
      <c r="Q28" s="779">
        <f t="shared" si="4"/>
        <v>0.29339999999999994</v>
      </c>
      <c r="R28" s="779">
        <f t="shared" si="4"/>
        <v>0.27579999999999993</v>
      </c>
      <c r="S28" s="779">
        <f t="shared" si="4"/>
        <v>0.25819999999999993</v>
      </c>
      <c r="T28" s="779">
        <f t="shared" si="4"/>
        <v>0.24059999999999993</v>
      </c>
      <c r="U28" s="779">
        <f t="shared" si="4"/>
        <v>0.22299999999999992</v>
      </c>
      <c r="V28" s="779">
        <f t="shared" si="4"/>
        <v>0.20539999999999992</v>
      </c>
      <c r="W28" s="779">
        <f t="shared" si="4"/>
        <v>0.1877999999999999</v>
      </c>
      <c r="X28" s="779">
        <f t="shared" si="4"/>
        <v>0.1701999999999999</v>
      </c>
      <c r="Y28" s="779">
        <f t="shared" si="4"/>
        <v>0.15259999999999996</v>
      </c>
      <c r="Z28" s="254" t="s">
        <v>382</v>
      </c>
    </row>
    <row r="29" spans="1:25" ht="15">
      <c r="A29" s="418" t="s">
        <v>439</v>
      </c>
      <c r="B29" s="718">
        <f>ECO!B49/ECO!B15</f>
        <v>0.24787698449540432</v>
      </c>
      <c r="C29" s="749">
        <f>ECO!C49/ECO!C15</f>
        <v>0.23818298811128816</v>
      </c>
      <c r="D29" s="749">
        <f>ECO!D49/ECO!D15</f>
        <v>0.23003057210965436</v>
      </c>
      <c r="E29" s="749">
        <f>ECO!E49/ECO!E15</f>
        <v>0.22029050426823904</v>
      </c>
      <c r="F29" s="749">
        <f>ECO!F49/ECO!F15</f>
        <v>0.20611197626992955</v>
      </c>
      <c r="G29" s="749">
        <f>ECO!G49/ECO!G15</f>
        <v>0.1974171222422645</v>
      </c>
      <c r="H29" s="749">
        <f>ECO!H49/ECO!H15</f>
        <v>0.18935370509787053</v>
      </c>
      <c r="I29" s="749">
        <f>ECO!I49/ECO!I15</f>
        <v>0.17097053191489361</v>
      </c>
      <c r="J29" s="774">
        <f>ECO!J49/ECO!J15</f>
        <v>0.1552925389579726</v>
      </c>
      <c r="K29" s="776">
        <f>-0.0113*K26+0.2625</f>
        <v>0.14950000000000002</v>
      </c>
      <c r="L29" s="776">
        <f aca="true" t="shared" si="5" ref="L29:Y29">-0.0113*L26+0.2625</f>
        <v>0.13820000000000002</v>
      </c>
      <c r="M29" s="776">
        <f t="shared" si="5"/>
        <v>0.1269</v>
      </c>
      <c r="N29" s="776">
        <f t="shared" si="5"/>
        <v>0.11560000000000001</v>
      </c>
      <c r="O29" s="776">
        <f t="shared" si="5"/>
        <v>0.10430000000000003</v>
      </c>
      <c r="P29" s="776">
        <f t="shared" si="5"/>
        <v>0.09300000000000003</v>
      </c>
      <c r="Q29" s="776">
        <f t="shared" si="5"/>
        <v>0.08170000000000002</v>
      </c>
      <c r="R29" s="776">
        <f t="shared" si="5"/>
        <v>0.07040000000000002</v>
      </c>
      <c r="S29" s="776">
        <f t="shared" si="5"/>
        <v>0.059100000000000014</v>
      </c>
      <c r="T29" s="776">
        <f t="shared" si="5"/>
        <v>0.04780000000000004</v>
      </c>
      <c r="U29" s="776">
        <f t="shared" si="5"/>
        <v>0.03650000000000003</v>
      </c>
      <c r="V29" s="776">
        <f t="shared" si="5"/>
        <v>0.025200000000000028</v>
      </c>
      <c r="W29" s="776">
        <f t="shared" si="5"/>
        <v>0.013900000000000023</v>
      </c>
      <c r="X29" s="776">
        <f t="shared" si="5"/>
        <v>0.0026000000000000467</v>
      </c>
      <c r="Y29" s="776">
        <f t="shared" si="5"/>
        <v>-0.008699999999999986</v>
      </c>
    </row>
    <row r="31" spans="2:25" ht="15">
      <c r="B31" s="254">
        <v>1</v>
      </c>
      <c r="C31" s="254">
        <v>2</v>
      </c>
      <c r="D31" s="254">
        <v>3</v>
      </c>
      <c r="E31" s="254">
        <v>4</v>
      </c>
      <c r="F31" s="254">
        <v>5</v>
      </c>
      <c r="G31" s="254">
        <v>6</v>
      </c>
      <c r="H31" s="254">
        <v>7</v>
      </c>
      <c r="I31" s="254">
        <v>8</v>
      </c>
      <c r="J31" s="254">
        <v>9</v>
      </c>
      <c r="K31" s="254">
        <v>10</v>
      </c>
      <c r="L31" s="254">
        <v>11</v>
      </c>
      <c r="M31" s="254">
        <v>12</v>
      </c>
      <c r="N31" s="254">
        <v>13</v>
      </c>
      <c r="O31" s="254">
        <v>14</v>
      </c>
      <c r="P31" s="254">
        <v>15</v>
      </c>
      <c r="Q31" s="254">
        <v>16</v>
      </c>
      <c r="R31" s="254">
        <v>17</v>
      </c>
      <c r="S31" s="254">
        <v>18</v>
      </c>
      <c r="T31" s="254">
        <v>19</v>
      </c>
      <c r="U31" s="254">
        <v>20</v>
      </c>
      <c r="V31" s="254">
        <v>21</v>
      </c>
      <c r="W31" s="254">
        <v>22</v>
      </c>
      <c r="X31" s="254">
        <v>23</v>
      </c>
      <c r="Y31" s="254">
        <v>24</v>
      </c>
    </row>
    <row r="32" spans="1:26" ht="15">
      <c r="A32" s="261" t="s">
        <v>76</v>
      </c>
      <c r="B32" s="82">
        <v>2005</v>
      </c>
      <c r="C32" s="82">
        <v>2006</v>
      </c>
      <c r="D32" s="82">
        <v>2007</v>
      </c>
      <c r="E32" s="82">
        <v>2008</v>
      </c>
      <c r="F32" s="82">
        <v>2009</v>
      </c>
      <c r="G32" s="82">
        <v>2010</v>
      </c>
      <c r="H32" s="82">
        <v>2011</v>
      </c>
      <c r="I32" s="82">
        <v>2012</v>
      </c>
      <c r="J32" s="82">
        <v>2013</v>
      </c>
      <c r="K32" s="82">
        <v>2014</v>
      </c>
      <c r="L32" s="82">
        <v>2015</v>
      </c>
      <c r="M32" s="82">
        <v>2016</v>
      </c>
      <c r="N32" s="82">
        <v>2017</v>
      </c>
      <c r="O32" s="82">
        <v>2018</v>
      </c>
      <c r="P32" s="82">
        <v>2019</v>
      </c>
      <c r="Q32" s="82">
        <v>2020</v>
      </c>
      <c r="R32" s="82">
        <v>2021</v>
      </c>
      <c r="S32" s="82">
        <v>2022</v>
      </c>
      <c r="T32" s="116">
        <v>2023</v>
      </c>
      <c r="U32" s="116">
        <v>2024</v>
      </c>
      <c r="V32" s="116">
        <v>2025</v>
      </c>
      <c r="W32" s="116">
        <v>2026</v>
      </c>
      <c r="X32" s="116">
        <v>2027</v>
      </c>
      <c r="Y32" s="116">
        <v>2028</v>
      </c>
      <c r="Z32" s="455" t="s">
        <v>77</v>
      </c>
    </row>
    <row r="33" spans="1:25" ht="15">
      <c r="A33" s="382" t="str">
        <f>ECO!A42</f>
        <v>Employer-initiated separation in NCR (% of employment excluding self-employed)</v>
      </c>
      <c r="B33" s="185">
        <f>ECO!B42</f>
        <v>0.0441</v>
      </c>
      <c r="C33" s="748">
        <f>ECO!C42</f>
        <v>0.045</v>
      </c>
      <c r="D33" s="748">
        <f>ECO!D42</f>
        <v>0.0422</v>
      </c>
      <c r="E33" s="748">
        <f>ECO!E42</f>
        <v>0.0422</v>
      </c>
      <c r="F33" s="748">
        <f>ECO!F42</f>
        <v>0.0389</v>
      </c>
      <c r="G33" s="748">
        <f>ECO!G42</f>
        <v>0.045450000000000004</v>
      </c>
      <c r="H33" s="748">
        <f>ECO!H42</f>
        <v>0.037950000000000005</v>
      </c>
      <c r="I33" s="748">
        <f>ECO!I42</f>
        <v>0.039749999999999994</v>
      </c>
      <c r="J33" s="748">
        <f>ECO!J42</f>
        <v>0.03585</v>
      </c>
      <c r="K33" s="748">
        <f>ECO!K42</f>
        <v>0.062375</v>
      </c>
      <c r="L33" s="775">
        <f>ECO!L42</f>
        <v>0.0586</v>
      </c>
      <c r="M33" s="778">
        <f>0.0011*M31+0.0384</f>
        <v>0.05159999999999999</v>
      </c>
      <c r="N33" s="779">
        <f aca="true" t="shared" si="6" ref="N33:S33">0.0011*N31+0.0384</f>
        <v>0.0527</v>
      </c>
      <c r="O33" s="779">
        <f t="shared" si="6"/>
        <v>0.0538</v>
      </c>
      <c r="P33" s="779">
        <f t="shared" si="6"/>
        <v>0.0549</v>
      </c>
      <c r="Q33" s="779">
        <f t="shared" si="6"/>
        <v>0.055999999999999994</v>
      </c>
      <c r="R33" s="779">
        <f t="shared" si="6"/>
        <v>0.0571</v>
      </c>
      <c r="S33" s="779">
        <f t="shared" si="6"/>
        <v>0.0582</v>
      </c>
      <c r="T33" s="779"/>
      <c r="U33" s="779"/>
      <c r="V33" s="779"/>
      <c r="W33" s="779"/>
      <c r="X33" s="779"/>
      <c r="Y33" s="780"/>
    </row>
    <row r="34" spans="1:25" ht="15">
      <c r="A34" s="418" t="str">
        <f>ECO!A42</f>
        <v>Employer-initiated separation in NCR (% of employment excluding self-employed)</v>
      </c>
      <c r="B34" s="718">
        <f>ECO!B42</f>
        <v>0.0441</v>
      </c>
      <c r="C34" s="749">
        <f>ECO!C42</f>
        <v>0.045</v>
      </c>
      <c r="D34" s="749">
        <f>ECO!D42</f>
        <v>0.0422</v>
      </c>
      <c r="E34" s="749">
        <f>ECO!E42</f>
        <v>0.0422</v>
      </c>
      <c r="F34" s="749">
        <f>ECO!F42</f>
        <v>0.0389</v>
      </c>
      <c r="G34" s="749">
        <f>ECO!G42</f>
        <v>0.045450000000000004</v>
      </c>
      <c r="H34" s="749">
        <f>ECO!H42</f>
        <v>0.037950000000000005</v>
      </c>
      <c r="I34" s="749">
        <f>ECO!I42</f>
        <v>0.039749999999999994</v>
      </c>
      <c r="J34" s="749">
        <f>ECO!J42</f>
        <v>0.03585</v>
      </c>
      <c r="K34" s="749">
        <f>ECO!K42</f>
        <v>0.062375</v>
      </c>
      <c r="L34" s="815">
        <f>ECO!L42</f>
        <v>0.0586</v>
      </c>
      <c r="M34" s="776">
        <f aca="true" t="shared" si="7" ref="M34:R34">-0.0025*M35+0.0611</f>
        <v>0.056100000000000004</v>
      </c>
      <c r="N34" s="776">
        <f t="shared" si="7"/>
        <v>0.0536</v>
      </c>
      <c r="O34" s="776">
        <f t="shared" si="7"/>
        <v>0.0511</v>
      </c>
      <c r="P34" s="776">
        <f t="shared" si="7"/>
        <v>0.048600000000000004</v>
      </c>
      <c r="Q34" s="776">
        <f t="shared" si="7"/>
        <v>0.0461</v>
      </c>
      <c r="R34" s="776">
        <f t="shared" si="7"/>
        <v>0.0436</v>
      </c>
      <c r="S34" s="776">
        <v>0.041</v>
      </c>
      <c r="T34" s="776"/>
      <c r="U34" s="776"/>
      <c r="V34" s="776"/>
      <c r="W34" s="776"/>
      <c r="X34" s="776"/>
      <c r="Y34" s="777"/>
    </row>
    <row r="35" spans="2:19" ht="15">
      <c r="B35" s="963">
        <f>AVERAGE(B34:L34)</f>
        <v>0.044761363636363634</v>
      </c>
      <c r="L35" s="254">
        <v>1</v>
      </c>
      <c r="M35" s="254">
        <v>2</v>
      </c>
      <c r="N35" s="254">
        <v>3</v>
      </c>
      <c r="O35" s="254">
        <v>4</v>
      </c>
      <c r="P35" s="254">
        <v>5</v>
      </c>
      <c r="Q35" s="254">
        <v>6</v>
      </c>
      <c r="R35" s="254">
        <v>7</v>
      </c>
      <c r="S35" s="254">
        <v>8</v>
      </c>
    </row>
    <row r="36" spans="2:25" ht="15">
      <c r="B36" s="254">
        <v>1</v>
      </c>
      <c r="C36" s="254">
        <v>2</v>
      </c>
      <c r="D36" s="254">
        <v>3</v>
      </c>
      <c r="E36" s="254">
        <v>4</v>
      </c>
      <c r="F36" s="254">
        <v>5</v>
      </c>
      <c r="G36" s="254">
        <v>6</v>
      </c>
      <c r="H36" s="254">
        <v>7</v>
      </c>
      <c r="I36" s="254">
        <v>8</v>
      </c>
      <c r="J36" s="254">
        <v>9</v>
      </c>
      <c r="K36" s="254">
        <v>10</v>
      </c>
      <c r="L36" s="254">
        <v>11</v>
      </c>
      <c r="M36" s="254">
        <v>12</v>
      </c>
      <c r="N36" s="254">
        <v>13</v>
      </c>
      <c r="O36" s="254">
        <v>14</v>
      </c>
      <c r="P36" s="254">
        <v>15</v>
      </c>
      <c r="Q36" s="254">
        <v>16</v>
      </c>
      <c r="R36" s="254">
        <v>17</v>
      </c>
      <c r="S36" s="254">
        <v>18</v>
      </c>
      <c r="T36" s="254">
        <v>19</v>
      </c>
      <c r="U36" s="254">
        <v>20</v>
      </c>
      <c r="V36" s="254">
        <v>21</v>
      </c>
      <c r="W36" s="254">
        <v>22</v>
      </c>
      <c r="X36" s="254">
        <v>23</v>
      </c>
      <c r="Y36" s="254">
        <v>24</v>
      </c>
    </row>
    <row r="37" spans="1:26" ht="15">
      <c r="A37" s="261" t="s">
        <v>76</v>
      </c>
      <c r="B37" s="82">
        <v>2005</v>
      </c>
      <c r="C37" s="82">
        <v>2006</v>
      </c>
      <c r="D37" s="82">
        <v>2007</v>
      </c>
      <c r="E37" s="82">
        <v>2008</v>
      </c>
      <c r="F37" s="82">
        <v>2009</v>
      </c>
      <c r="G37" s="82">
        <v>2010</v>
      </c>
      <c r="H37" s="82">
        <v>2011</v>
      </c>
      <c r="I37" s="82">
        <v>2012</v>
      </c>
      <c r="J37" s="82">
        <v>2013</v>
      </c>
      <c r="K37" s="82">
        <v>2014</v>
      </c>
      <c r="L37" s="82">
        <v>2015</v>
      </c>
      <c r="M37" s="82">
        <v>2016</v>
      </c>
      <c r="N37" s="82">
        <v>2017</v>
      </c>
      <c r="O37" s="82">
        <v>2018</v>
      </c>
      <c r="P37" s="82">
        <v>2019</v>
      </c>
      <c r="Q37" s="82">
        <v>2020</v>
      </c>
      <c r="R37" s="82">
        <v>2021</v>
      </c>
      <c r="S37" s="82">
        <v>2022</v>
      </c>
      <c r="T37" s="116">
        <v>2023</v>
      </c>
      <c r="U37" s="116">
        <v>2024</v>
      </c>
      <c r="V37" s="116">
        <v>2025</v>
      </c>
      <c r="W37" s="116">
        <v>2026</v>
      </c>
      <c r="X37" s="116">
        <v>2027</v>
      </c>
      <c r="Y37" s="116">
        <v>2028</v>
      </c>
      <c r="Z37" s="455" t="s">
        <v>77</v>
      </c>
    </row>
    <row r="38" spans="1:26" ht="15">
      <c r="A38" s="362" t="s">
        <v>465</v>
      </c>
      <c r="B38" s="256">
        <f>ECO!B40</f>
        <v>0.0975053612071898</v>
      </c>
      <c r="C38" s="257">
        <f>ECO!C40</f>
        <v>0.0979442815249267</v>
      </c>
      <c r="D38" s="257">
        <f>ECO!D40</f>
        <v>0.08941012577834846</v>
      </c>
      <c r="E38" s="257">
        <f>ECO!E40</f>
        <v>0.0888104553852842</v>
      </c>
      <c r="F38" s="257">
        <f>ECO!F40</f>
        <v>0.08696746014989971</v>
      </c>
      <c r="G38" s="257">
        <f>ECO!G40</f>
        <v>0.08695611148249087</v>
      </c>
      <c r="H38" s="257">
        <f>ECO!H40</f>
        <v>0.08778543218517222</v>
      </c>
      <c r="I38" s="257">
        <f>ECO!I40</f>
        <v>0.09398411991688929</v>
      </c>
      <c r="J38" s="361">
        <f>ECO!J40</f>
        <v>0.09058691465763108</v>
      </c>
      <c r="K38" s="258">
        <f aca="true" t="shared" si="8" ref="K38:Y38">-0.0007*K36+0.0948</f>
        <v>0.08779999999999999</v>
      </c>
      <c r="L38" s="258">
        <f t="shared" si="8"/>
        <v>0.0871</v>
      </c>
      <c r="M38" s="258">
        <f t="shared" si="8"/>
        <v>0.08639999999999999</v>
      </c>
      <c r="N38" s="258">
        <f t="shared" si="8"/>
        <v>0.0857</v>
      </c>
      <c r="O38" s="258">
        <f t="shared" si="8"/>
        <v>0.08499999999999999</v>
      </c>
      <c r="P38" s="258">
        <f t="shared" si="8"/>
        <v>0.0843</v>
      </c>
      <c r="Q38" s="258">
        <f t="shared" si="8"/>
        <v>0.0836</v>
      </c>
      <c r="R38" s="258">
        <f t="shared" si="8"/>
        <v>0.0829</v>
      </c>
      <c r="S38" s="258">
        <f t="shared" si="8"/>
        <v>0.0822</v>
      </c>
      <c r="T38" s="258">
        <f t="shared" si="8"/>
        <v>0.08149999999999999</v>
      </c>
      <c r="U38" s="258">
        <f t="shared" si="8"/>
        <v>0.0808</v>
      </c>
      <c r="V38" s="258">
        <f t="shared" si="8"/>
        <v>0.08009999999999999</v>
      </c>
      <c r="W38" s="258">
        <f t="shared" si="8"/>
        <v>0.0794</v>
      </c>
      <c r="X38" s="258">
        <f t="shared" si="8"/>
        <v>0.07869999999999999</v>
      </c>
      <c r="Y38" s="260">
        <f t="shared" si="8"/>
        <v>0.078</v>
      </c>
      <c r="Z38" s="1170" t="s">
        <v>437</v>
      </c>
    </row>
    <row r="39" ht="15">
      <c r="Z39" s="1170"/>
    </row>
    <row r="40" ht="15">
      <c r="Z40" s="1170"/>
    </row>
    <row r="41" ht="15">
      <c r="Z41" s="1170"/>
    </row>
    <row r="55" spans="1:26" ht="15">
      <c r="A55" s="259" t="s">
        <v>76</v>
      </c>
      <c r="B55" s="116">
        <v>2005</v>
      </c>
      <c r="C55" s="116">
        <v>2006</v>
      </c>
      <c r="D55" s="116">
        <v>2007</v>
      </c>
      <c r="E55" s="116">
        <v>2008</v>
      </c>
      <c r="F55" s="116">
        <v>2009</v>
      </c>
      <c r="G55" s="116">
        <v>2010</v>
      </c>
      <c r="H55" s="116">
        <v>2011</v>
      </c>
      <c r="I55" s="116">
        <v>2012</v>
      </c>
      <c r="J55" s="116">
        <v>2013</v>
      </c>
      <c r="K55" s="116">
        <v>2014</v>
      </c>
      <c r="L55" s="116">
        <v>2015</v>
      </c>
      <c r="M55" s="116">
        <v>2016</v>
      </c>
      <c r="N55" s="116">
        <v>2017</v>
      </c>
      <c r="O55" s="116">
        <v>2018</v>
      </c>
      <c r="P55" s="116">
        <v>2019</v>
      </c>
      <c r="Q55" s="116">
        <v>2020</v>
      </c>
      <c r="R55" s="116">
        <v>2021</v>
      </c>
      <c r="S55" s="82">
        <v>2022</v>
      </c>
      <c r="T55" s="116">
        <v>2023</v>
      </c>
      <c r="U55" s="116">
        <v>2024</v>
      </c>
      <c r="V55" s="116">
        <v>2025</v>
      </c>
      <c r="W55" s="116">
        <v>2026</v>
      </c>
      <c r="X55" s="116">
        <v>2027</v>
      </c>
      <c r="Y55" s="116">
        <v>2028</v>
      </c>
      <c r="Z55" s="455" t="s">
        <v>77</v>
      </c>
    </row>
    <row r="56" spans="1:26" ht="15">
      <c r="A56" s="274" t="s">
        <v>114</v>
      </c>
      <c r="B56" s="273"/>
      <c r="C56" s="277">
        <f>POP!C75</f>
        <v>5.033270125840373</v>
      </c>
      <c r="D56" s="277"/>
      <c r="E56" s="277"/>
      <c r="F56" s="277">
        <f>POP!F75</f>
        <v>4.966507695642749</v>
      </c>
      <c r="G56" s="277"/>
      <c r="H56" s="277"/>
      <c r="I56" s="946">
        <f>POP!I75</f>
        <v>4.481424437599179</v>
      </c>
      <c r="J56" s="768">
        <f>I56-($I$56-$V$56)/13</f>
        <v>4.444391788553088</v>
      </c>
      <c r="K56" s="768">
        <f>J56-($I$56-$V$56)/13</f>
        <v>4.4073591395069975</v>
      </c>
      <c r="L56" s="768">
        <f>K56-($I$56-$V$56)/13</f>
        <v>4.370326490460907</v>
      </c>
      <c r="M56" s="768">
        <f aca="true" t="shared" si="9" ref="M56:U56">L56-($I$56-$V$56)/13</f>
        <v>4.333293841414816</v>
      </c>
      <c r="N56" s="768">
        <f t="shared" si="9"/>
        <v>4.296261192368726</v>
      </c>
      <c r="O56" s="768">
        <f t="shared" si="9"/>
        <v>4.259228543322635</v>
      </c>
      <c r="P56" s="768">
        <f>O56-($I$56-$V$56)/13</f>
        <v>4.2221958942765445</v>
      </c>
      <c r="Q56" s="768">
        <f t="shared" si="9"/>
        <v>4.185163245230454</v>
      </c>
      <c r="R56" s="768">
        <f t="shared" si="9"/>
        <v>4.148130596184363</v>
      </c>
      <c r="S56" s="768">
        <f t="shared" si="9"/>
        <v>4.111097947138273</v>
      </c>
      <c r="T56" s="768">
        <f>S56-($I$56-$V$56)/13</f>
        <v>4.074065298092182</v>
      </c>
      <c r="U56" s="768">
        <f t="shared" si="9"/>
        <v>4.0370326490460915</v>
      </c>
      <c r="V56" s="768">
        <v>4</v>
      </c>
      <c r="W56" s="768">
        <f>V56</f>
        <v>4</v>
      </c>
      <c r="X56" s="768">
        <f>W56</f>
        <v>4</v>
      </c>
      <c r="Y56" s="768">
        <f>X56</f>
        <v>4</v>
      </c>
      <c r="Z56" s="254" t="s">
        <v>595</v>
      </c>
    </row>
    <row r="58" spans="2:25" ht="15">
      <c r="B58" s="254">
        <v>1</v>
      </c>
      <c r="C58" s="254">
        <v>2</v>
      </c>
      <c r="D58" s="254">
        <v>3</v>
      </c>
      <c r="E58" s="254">
        <v>4</v>
      </c>
      <c r="F58" s="254">
        <v>5</v>
      </c>
      <c r="G58" s="254">
        <v>6</v>
      </c>
      <c r="H58" s="254">
        <v>7</v>
      </c>
      <c r="I58" s="254">
        <v>8</v>
      </c>
      <c r="J58" s="254">
        <v>9</v>
      </c>
      <c r="K58" s="254">
        <v>10</v>
      </c>
      <c r="L58" s="254">
        <v>11</v>
      </c>
      <c r="M58" s="254">
        <v>12</v>
      </c>
      <c r="N58" s="254">
        <v>13</v>
      </c>
      <c r="O58" s="254">
        <v>14</v>
      </c>
      <c r="P58" s="254">
        <v>15</v>
      </c>
      <c r="Q58" s="254">
        <v>16</v>
      </c>
      <c r="R58" s="254">
        <v>17</v>
      </c>
      <c r="S58" s="254">
        <v>18</v>
      </c>
      <c r="T58" s="254">
        <v>19</v>
      </c>
      <c r="U58" s="254">
        <v>20</v>
      </c>
      <c r="V58" s="254">
        <v>21</v>
      </c>
      <c r="W58" s="254">
        <v>22</v>
      </c>
      <c r="X58" s="254">
        <v>23</v>
      </c>
      <c r="Y58" s="254">
        <v>24</v>
      </c>
    </row>
    <row r="59" spans="1:26" ht="15">
      <c r="A59" s="259" t="s">
        <v>76</v>
      </c>
      <c r="B59" s="116">
        <v>2005</v>
      </c>
      <c r="C59" s="116">
        <v>2006</v>
      </c>
      <c r="D59" s="116">
        <v>2007</v>
      </c>
      <c r="E59" s="116">
        <v>2008</v>
      </c>
      <c r="F59" s="116">
        <v>2009</v>
      </c>
      <c r="G59" s="116">
        <v>2010</v>
      </c>
      <c r="H59" s="116">
        <v>2011</v>
      </c>
      <c r="I59" s="116">
        <v>2012</v>
      </c>
      <c r="J59" s="116">
        <v>2013</v>
      </c>
      <c r="K59" s="82">
        <v>2014</v>
      </c>
      <c r="L59" s="82">
        <v>2015</v>
      </c>
      <c r="M59" s="82">
        <v>2016</v>
      </c>
      <c r="N59" s="82">
        <v>2017</v>
      </c>
      <c r="O59" s="82">
        <v>2018</v>
      </c>
      <c r="P59" s="82">
        <v>2019</v>
      </c>
      <c r="Q59" s="82">
        <v>2020</v>
      </c>
      <c r="R59" s="82">
        <v>2021</v>
      </c>
      <c r="S59" s="82">
        <v>2022</v>
      </c>
      <c r="T59" s="116">
        <v>2023</v>
      </c>
      <c r="U59" s="116">
        <v>2024</v>
      </c>
      <c r="V59" s="116">
        <v>2025</v>
      </c>
      <c r="W59" s="116">
        <v>2026</v>
      </c>
      <c r="X59" s="116">
        <v>2027</v>
      </c>
      <c r="Y59" s="116">
        <v>2028</v>
      </c>
      <c r="Z59" s="455" t="s">
        <v>77</v>
      </c>
    </row>
    <row r="60" spans="1:25" ht="15">
      <c r="A60" s="618" t="s">
        <v>189</v>
      </c>
      <c r="B60" s="619">
        <f>POP!B83</f>
        <v>17528.338</v>
      </c>
      <c r="C60" s="619">
        <f>POP!C83</f>
        <v>17730.073</v>
      </c>
      <c r="D60" s="619">
        <f>POP!D83</f>
        <v>18083.28</v>
      </c>
      <c r="E60" s="619">
        <f>POP!E83</f>
        <v>18742.511</v>
      </c>
      <c r="F60" s="619">
        <f>POP!F83</f>
        <v>19244.86</v>
      </c>
      <c r="G60" s="619">
        <f>POP!G83</f>
        <v>19748.332000000002</v>
      </c>
      <c r="H60" s="619">
        <f>POP!H83</f>
        <v>20475.476000000002</v>
      </c>
      <c r="I60" s="619">
        <f>POP!I83</f>
        <v>20658.368</v>
      </c>
      <c r="J60" s="619">
        <f>POP!J83</f>
        <v>22789.193</v>
      </c>
      <c r="K60" s="101">
        <f>POP!K83</f>
        <v>21003.578999999998</v>
      </c>
      <c r="L60" s="403">
        <f>L61+L63+L65</f>
        <v>22687.574399999998</v>
      </c>
      <c r="M60" s="403">
        <f aca="true" t="shared" si="10" ref="M60:Y60">M61+M63+M65</f>
        <v>23306.698800000002</v>
      </c>
      <c r="N60" s="403">
        <f t="shared" si="10"/>
        <v>23925.372</v>
      </c>
      <c r="O60" s="403">
        <f t="shared" si="10"/>
        <v>24549.4944</v>
      </c>
      <c r="P60" s="403">
        <f t="shared" si="10"/>
        <v>25184.304</v>
      </c>
      <c r="Q60" s="403">
        <f t="shared" si="10"/>
        <v>25833.0756</v>
      </c>
      <c r="R60" s="403">
        <f t="shared" si="10"/>
        <v>26493.264</v>
      </c>
      <c r="S60" s="403">
        <f t="shared" si="10"/>
        <v>27167.641799999998</v>
      </c>
      <c r="T60" s="403">
        <f t="shared" si="10"/>
        <v>27852.888</v>
      </c>
      <c r="U60" s="403">
        <f t="shared" si="10"/>
        <v>28539.018</v>
      </c>
      <c r="V60" s="403">
        <f t="shared" si="10"/>
        <v>29221.171199999997</v>
      </c>
      <c r="W60" s="403">
        <f t="shared" si="10"/>
        <v>29910.051</v>
      </c>
      <c r="X60" s="403">
        <f t="shared" si="10"/>
        <v>30596.2668</v>
      </c>
      <c r="Y60" s="404">
        <f t="shared" si="10"/>
        <v>31274.5818</v>
      </c>
    </row>
    <row r="61" spans="1:25" ht="15">
      <c r="A61" s="365" t="s">
        <v>287</v>
      </c>
      <c r="B61" s="90">
        <f>POP!B84</f>
        <v>524.075</v>
      </c>
      <c r="C61" s="90">
        <f>POP!C84</f>
        <v>561.207</v>
      </c>
      <c r="D61" s="90">
        <f>POP!D84</f>
        <v>591.445</v>
      </c>
      <c r="E61" s="90">
        <f>POP!E84</f>
        <v>746.443</v>
      </c>
      <c r="F61" s="90">
        <f>POP!F84</f>
        <v>1049.035</v>
      </c>
      <c r="G61" s="90">
        <f>POP!G84</f>
        <v>1217.939</v>
      </c>
      <c r="H61" s="90">
        <f>POP!H84</f>
        <v>1671.227</v>
      </c>
      <c r="I61" s="90">
        <f>POP!I84</f>
        <v>1727.033</v>
      </c>
      <c r="J61" s="90">
        <f>POP!J84</f>
        <v>1865.807</v>
      </c>
      <c r="K61" s="856">
        <f>POP!K84</f>
        <v>1812.96</v>
      </c>
      <c r="L61" s="711">
        <f>L62*SUM(POP!L51:L54)</f>
        <v>2169.7848</v>
      </c>
      <c r="M61" s="711">
        <f>M62*SUM(POP!M51:M54)</f>
        <v>2361.303</v>
      </c>
      <c r="N61" s="711">
        <f>N62*SUM(POP!N51:N54)</f>
        <v>2554.2644999999998</v>
      </c>
      <c r="O61" s="711">
        <f>O62*SUM(POP!O51:O54)</f>
        <v>2749.2336</v>
      </c>
      <c r="P61" s="711">
        <f>P62*SUM(POP!P51:P54)</f>
        <v>2946.8232</v>
      </c>
      <c r="Q61" s="711">
        <f>Q62*SUM(POP!Q51:Q54)</f>
        <v>3147.5082</v>
      </c>
      <c r="R61" s="711">
        <f>R62*SUM(POP!R51:R54)</f>
        <v>3351.0824999999995</v>
      </c>
      <c r="S61" s="711">
        <f>S62*SUM(POP!S51:S54)</f>
        <v>3557.9822999999997</v>
      </c>
      <c r="T61" s="711">
        <f>T62*SUM(POP!T51:T54)</f>
        <v>3767.862</v>
      </c>
      <c r="U61" s="711">
        <f>U62*SUM(POP!U51:U54)</f>
        <v>3979.3841999999995</v>
      </c>
      <c r="V61" s="711">
        <f>V62*SUM(POP!V51:V54)</f>
        <v>4191.7824</v>
      </c>
      <c r="W61" s="711">
        <f>W62*SUM(POP!W51:W54)</f>
        <v>4406.5125</v>
      </c>
      <c r="X61" s="711">
        <f>X62*SUM(POP!X51:X54)</f>
        <v>4622.163299999999</v>
      </c>
      <c r="Y61" s="804">
        <f>Y62*SUM(POP!Y51:Y54)</f>
        <v>4837.829699999999</v>
      </c>
    </row>
    <row r="62" spans="1:26" ht="15">
      <c r="A62" s="623" t="s">
        <v>442</v>
      </c>
      <c r="B62" s="621">
        <f>B61/SUM(POP!B51:B54)</f>
        <v>0.012754319785835971</v>
      </c>
      <c r="C62" s="621">
        <f>C61/SUM(POP!C51:C54)</f>
        <v>0.013627482880870283</v>
      </c>
      <c r="D62" s="621">
        <f>D61/SUM(POP!D51:D54)</f>
        <v>0.014354415940586852</v>
      </c>
      <c r="E62" s="621">
        <f>E61/SUM(POP!E51:E54)</f>
        <v>0.018133833782766076</v>
      </c>
      <c r="F62" s="621">
        <f>F61/SUM(POP!F51:F54)</f>
        <v>0.02552520803932065</v>
      </c>
      <c r="G62" s="621">
        <f>G61/SUM(POP!G51:G54)</f>
        <v>0.029677599356709473</v>
      </c>
      <c r="H62" s="621">
        <f>H61/SUM(POP!H51:H54)</f>
        <v>0.04045379066615027</v>
      </c>
      <c r="I62" s="621">
        <f>I61/SUM(POP!I51:I54)</f>
        <v>0.041562173609607005</v>
      </c>
      <c r="J62" s="621">
        <f>J61/SUM(POP!J51:J54)</f>
        <v>0.04464400736965521</v>
      </c>
      <c r="K62" s="857">
        <f>K61/SUM(POP!K51:K54)</f>
        <v>0.04312156601574579</v>
      </c>
      <c r="L62" s="621">
        <f>0.0042*L58+0.0051</f>
        <v>0.0513</v>
      </c>
      <c r="M62" s="621">
        <f aca="true" t="shared" si="11" ref="M62:R62">0.0042*M58+0.0051</f>
        <v>0.0555</v>
      </c>
      <c r="N62" s="621">
        <f t="shared" si="11"/>
        <v>0.059699999999999996</v>
      </c>
      <c r="O62" s="621">
        <f t="shared" si="11"/>
        <v>0.0639</v>
      </c>
      <c r="P62" s="621">
        <f t="shared" si="11"/>
        <v>0.0681</v>
      </c>
      <c r="Q62" s="621">
        <f t="shared" si="11"/>
        <v>0.0723</v>
      </c>
      <c r="R62" s="621">
        <f t="shared" si="11"/>
        <v>0.07649999999999998</v>
      </c>
      <c r="S62" s="621">
        <f>0.0042*S58+0.0051</f>
        <v>0.0807</v>
      </c>
      <c r="T62" s="621">
        <f aca="true" t="shared" si="12" ref="T62:Y62">0.0042*T58+0.0051</f>
        <v>0.0849</v>
      </c>
      <c r="U62" s="621">
        <f t="shared" si="12"/>
        <v>0.08909999999999998</v>
      </c>
      <c r="V62" s="621">
        <f t="shared" si="12"/>
        <v>0.0933</v>
      </c>
      <c r="W62" s="621">
        <f t="shared" si="12"/>
        <v>0.0975</v>
      </c>
      <c r="X62" s="621">
        <f t="shared" si="12"/>
        <v>0.10169999999999998</v>
      </c>
      <c r="Y62" s="857">
        <f t="shared" si="12"/>
        <v>0.1059</v>
      </c>
      <c r="Z62" s="744" t="s">
        <v>405</v>
      </c>
    </row>
    <row r="63" spans="1:25" ht="15">
      <c r="A63" s="365" t="s">
        <v>285</v>
      </c>
      <c r="B63" s="90">
        <f>POP!B85</f>
        <v>11990.686</v>
      </c>
      <c r="C63" s="90">
        <f>POP!C85</f>
        <v>12096.656</v>
      </c>
      <c r="D63" s="90">
        <f>POP!D85</f>
        <v>12318.505</v>
      </c>
      <c r="E63" s="90">
        <f>POP!E85</f>
        <v>12574.506</v>
      </c>
      <c r="F63" s="90">
        <f>POP!F85</f>
        <v>12780.327</v>
      </c>
      <c r="G63" s="90">
        <f>POP!G85</f>
        <v>13002.994</v>
      </c>
      <c r="H63" s="90">
        <f>POP!H85</f>
        <v>13228.304</v>
      </c>
      <c r="I63" s="90">
        <f>POP!I85</f>
        <v>13288.608</v>
      </c>
      <c r="J63" s="90">
        <f>POP!J85</f>
        <v>15150.119</v>
      </c>
      <c r="K63" s="856">
        <f>POP!K85</f>
        <v>13264.588</v>
      </c>
      <c r="L63" s="711">
        <f>L64*SUM(POP!L51:L54)</f>
        <v>14439.854399999998</v>
      </c>
      <c r="M63" s="711">
        <f>M64*SUM(POP!M51:M54)</f>
        <v>14742.189000000002</v>
      </c>
      <c r="N63" s="711">
        <f>N64*SUM(POP!N51:N54)</f>
        <v>15043.206</v>
      </c>
      <c r="O63" s="711">
        <f>O64*SUM(POP!O51:O54)</f>
        <v>15346.660800000001</v>
      </c>
      <c r="P63" s="711">
        <f>P64*SUM(POP!P51:P54)</f>
        <v>15655.8096</v>
      </c>
      <c r="Q63" s="711">
        <f>Q64*SUM(POP!Q51:Q54)</f>
        <v>15972.624600000001</v>
      </c>
      <c r="R63" s="711">
        <f>R64*SUM(POP!R51:R54)</f>
        <v>16295.46</v>
      </c>
      <c r="S63" s="711">
        <f>S64*SUM(POP!S51:S54)</f>
        <v>16625.9619</v>
      </c>
      <c r="T63" s="711">
        <f>T64*SUM(POP!T51:T54)</f>
        <v>16962.036</v>
      </c>
      <c r="U63" s="711">
        <f>U64*SUM(POP!U51:U54)</f>
        <v>17297.5926</v>
      </c>
      <c r="V63" s="711">
        <f>V64*SUM(POP!V51:V54)</f>
        <v>17629.747199999998</v>
      </c>
      <c r="W63" s="711">
        <f>W64*SUM(POP!W51:W54)</f>
        <v>17965.0125</v>
      </c>
      <c r="X63" s="711">
        <f>X64*SUM(POP!X51:X54)</f>
        <v>18297.7674</v>
      </c>
      <c r="Y63" s="804">
        <f>Y64*SUM(POP!Y51:Y54)</f>
        <v>18624.9591</v>
      </c>
    </row>
    <row r="64" spans="1:26" ht="15">
      <c r="A64" s="623" t="s">
        <v>442</v>
      </c>
      <c r="B64" s="621">
        <f>B63/SUM(POP!B51:B54)</f>
        <v>0.29181518617668534</v>
      </c>
      <c r="C64" s="621">
        <f>C63/SUM(POP!C51:C54)</f>
        <v>0.2937364868146278</v>
      </c>
      <c r="D64" s="621">
        <f>D63/SUM(POP!D51:D54)</f>
        <v>0.2989710700677135</v>
      </c>
      <c r="E64" s="621">
        <f>E63/SUM(POP!E51:E54)</f>
        <v>0.30548079586036003</v>
      </c>
      <c r="F64" s="621">
        <f>F63/SUM(POP!F51:F54)</f>
        <v>0.3109719937709864</v>
      </c>
      <c r="G64" s="621">
        <f>G63/SUM(POP!G51:G54)</f>
        <v>0.31684480615999416</v>
      </c>
      <c r="H64" s="621">
        <f>H63/SUM(POP!H51:H54)</f>
        <v>0.32020487993803254</v>
      </c>
      <c r="I64" s="621">
        <f>I63/SUM(POP!I51:I54)</f>
        <v>0.3197990036820446</v>
      </c>
      <c r="J64" s="621">
        <f>J63/SUM(POP!J51:J54)</f>
        <v>0.36250374464623264</v>
      </c>
      <c r="K64" s="857">
        <f>K63/SUM(POP!K51:K54)</f>
        <v>0.31550051138120494</v>
      </c>
      <c r="L64" s="621">
        <f>0.0051*L58+0.2853</f>
        <v>0.3414</v>
      </c>
      <c r="M64" s="621">
        <f aca="true" t="shared" si="13" ref="M64:R64">0.0051*M58+0.2853</f>
        <v>0.34650000000000003</v>
      </c>
      <c r="N64" s="621">
        <f t="shared" si="13"/>
        <v>0.3516</v>
      </c>
      <c r="O64" s="621">
        <f t="shared" si="13"/>
        <v>0.3567</v>
      </c>
      <c r="P64" s="621">
        <f t="shared" si="13"/>
        <v>0.3618</v>
      </c>
      <c r="Q64" s="621">
        <f t="shared" si="13"/>
        <v>0.3669</v>
      </c>
      <c r="R64" s="621">
        <f t="shared" si="13"/>
        <v>0.372</v>
      </c>
      <c r="S64" s="621">
        <f>0.0051*S58+0.2853</f>
        <v>0.3771</v>
      </c>
      <c r="T64" s="621">
        <f aca="true" t="shared" si="14" ref="T64:Y64">0.0051*T58+0.2853</f>
        <v>0.3822</v>
      </c>
      <c r="U64" s="621">
        <f t="shared" si="14"/>
        <v>0.3873</v>
      </c>
      <c r="V64" s="621">
        <f t="shared" si="14"/>
        <v>0.39239999999999997</v>
      </c>
      <c r="W64" s="621">
        <f t="shared" si="14"/>
        <v>0.3975</v>
      </c>
      <c r="X64" s="621">
        <f t="shared" si="14"/>
        <v>0.4026</v>
      </c>
      <c r="Y64" s="857">
        <f t="shared" si="14"/>
        <v>0.4077</v>
      </c>
      <c r="Z64" s="744" t="s">
        <v>405</v>
      </c>
    </row>
    <row r="65" spans="1:25" ht="15">
      <c r="A65" s="365" t="s">
        <v>286</v>
      </c>
      <c r="B65" s="90">
        <f>POP!B86</f>
        <v>5013.577</v>
      </c>
      <c r="C65" s="90">
        <f>POP!C86</f>
        <v>5072.21</v>
      </c>
      <c r="D65" s="90">
        <f>POP!D86</f>
        <v>5173.33</v>
      </c>
      <c r="E65" s="90">
        <f>POP!E86</f>
        <v>5421.562</v>
      </c>
      <c r="F65" s="90">
        <f>POP!F86</f>
        <v>5415.498</v>
      </c>
      <c r="G65" s="90">
        <f>POP!G86</f>
        <v>5527.399</v>
      </c>
      <c r="H65" s="90">
        <f>POP!H86</f>
        <v>5575.945</v>
      </c>
      <c r="I65" s="90">
        <f>POP!I86</f>
        <v>5642.727</v>
      </c>
      <c r="J65" s="90">
        <f>POP!J86</f>
        <v>5773.267</v>
      </c>
      <c r="K65" s="856">
        <f>POP!K86</f>
        <v>5926.031</v>
      </c>
      <c r="L65" s="711">
        <f>L66*SUM(POP!L51:L54)</f>
        <v>6077.9352</v>
      </c>
      <c r="M65" s="711">
        <f>M66*SUM(POP!M51:M54)</f>
        <v>6203.206799999999</v>
      </c>
      <c r="N65" s="711">
        <f>N66*SUM(POP!N51:N54)</f>
        <v>6327.9015</v>
      </c>
      <c r="O65" s="711">
        <f>O66*SUM(POP!O51:O54)</f>
        <v>6453.599999999999</v>
      </c>
      <c r="P65" s="711">
        <f>P66*SUM(POP!P51:P54)</f>
        <v>6581.671200000001</v>
      </c>
      <c r="Q65" s="711">
        <f>Q66*SUM(POP!Q51:Q54)</f>
        <v>6712.9428</v>
      </c>
      <c r="R65" s="711">
        <f>R66*SUM(POP!R51:R54)</f>
        <v>6846.7215</v>
      </c>
      <c r="S65" s="711">
        <f>S66*SUM(POP!S51:S54)</f>
        <v>6983.6975999999995</v>
      </c>
      <c r="T65" s="711">
        <f>T66*SUM(POP!T51:T54)</f>
        <v>7122.99</v>
      </c>
      <c r="U65" s="711">
        <f>U66*SUM(POP!U51:U54)</f>
        <v>7262.0412</v>
      </c>
      <c r="V65" s="711">
        <f>V66*SUM(POP!V51:V54)</f>
        <v>7399.641600000001</v>
      </c>
      <c r="W65" s="711">
        <f>W66*SUM(POP!W51:W54)</f>
        <v>7538.526</v>
      </c>
      <c r="X65" s="711">
        <f>X66*SUM(POP!X51:X54)</f>
        <v>7676.3360999999995</v>
      </c>
      <c r="Y65" s="804">
        <f>Y66*SUM(POP!Y51:Y54)</f>
        <v>7811.793</v>
      </c>
    </row>
    <row r="66" spans="1:26" ht="15">
      <c r="A66" s="624" t="s">
        <v>442</v>
      </c>
      <c r="B66" s="853">
        <f>B65/SUM(POP!B51:B54)</f>
        <v>0.12201452908250184</v>
      </c>
      <c r="C66" s="854">
        <f>C65/SUM(POP!C51:C54)</f>
        <v>0.12316570346267787</v>
      </c>
      <c r="D66" s="854">
        <f>D65/SUM(POP!D51:D54)</f>
        <v>0.1255571196272116</v>
      </c>
      <c r="E66" s="854">
        <f>E65/SUM(POP!E51:E54)</f>
        <v>0.13170959356703835</v>
      </c>
      <c r="F66" s="854">
        <f>F65/SUM(POP!F51:F54)</f>
        <v>0.13177035378850552</v>
      </c>
      <c r="G66" s="854">
        <f>G65/SUM(POP!G51:G54)</f>
        <v>0.1346864933356076</v>
      </c>
      <c r="H66" s="854">
        <f>H65/SUM(POP!H51:H54)</f>
        <v>0.13497155790085205</v>
      </c>
      <c r="I66" s="854">
        <f>I65/SUM(POP!I51:I54)</f>
        <v>0.1357958992130532</v>
      </c>
      <c r="J66" s="854">
        <f>J65/SUM(POP!J51:J54)</f>
        <v>0.13813956882731557</v>
      </c>
      <c r="K66" s="855">
        <f>K65/SUM(POP!K51:K54)</f>
        <v>0.1409516685298385</v>
      </c>
      <c r="L66" s="854">
        <f>0.0021*L58+0.1206</f>
        <v>0.1437</v>
      </c>
      <c r="M66" s="622">
        <f aca="true" t="shared" si="15" ref="M66:R66">0.0021*M58+0.1206</f>
        <v>0.14579999999999999</v>
      </c>
      <c r="N66" s="622">
        <f t="shared" si="15"/>
        <v>0.1479</v>
      </c>
      <c r="O66" s="622">
        <f t="shared" si="15"/>
        <v>0.15</v>
      </c>
      <c r="P66" s="622">
        <f t="shared" si="15"/>
        <v>0.1521</v>
      </c>
      <c r="Q66" s="622">
        <f t="shared" si="15"/>
        <v>0.1542</v>
      </c>
      <c r="R66" s="622">
        <f t="shared" si="15"/>
        <v>0.1563</v>
      </c>
      <c r="S66" s="622">
        <f>0.0021*S58+0.1206</f>
        <v>0.15839999999999999</v>
      </c>
      <c r="T66" s="622">
        <f aca="true" t="shared" si="16" ref="T66:Y66">0.0021*T58+0.1206</f>
        <v>0.1605</v>
      </c>
      <c r="U66" s="622">
        <f t="shared" si="16"/>
        <v>0.1626</v>
      </c>
      <c r="V66" s="622">
        <f t="shared" si="16"/>
        <v>0.1647</v>
      </c>
      <c r="W66" s="622">
        <f>0.0021*W58+0.1206</f>
        <v>0.1668</v>
      </c>
      <c r="X66" s="622">
        <f t="shared" si="16"/>
        <v>0.1689</v>
      </c>
      <c r="Y66" s="855">
        <f t="shared" si="16"/>
        <v>0.17099999999999999</v>
      </c>
      <c r="Z66" s="744" t="s">
        <v>405</v>
      </c>
    </row>
    <row r="67" spans="2:19" ht="15">
      <c r="B67" s="773"/>
      <c r="C67" s="773"/>
      <c r="D67" s="773"/>
      <c r="E67" s="773"/>
      <c r="F67" s="773"/>
      <c r="G67" s="773"/>
      <c r="H67" s="773"/>
      <c r="I67" s="773"/>
      <c r="J67" s="773"/>
      <c r="K67" s="773"/>
      <c r="L67" s="773"/>
      <c r="M67" s="773"/>
      <c r="N67" s="773"/>
      <c r="O67" s="773"/>
      <c r="P67" s="773"/>
      <c r="Q67" s="773"/>
      <c r="R67" s="773"/>
      <c r="S67" s="773"/>
    </row>
    <row r="68" spans="2:19" ht="15">
      <c r="B68" s="390"/>
      <c r="C68" s="390"/>
      <c r="D68" s="390"/>
      <c r="E68" s="390"/>
      <c r="F68" s="390"/>
      <c r="G68" s="390"/>
      <c r="H68" s="390"/>
      <c r="I68" s="390"/>
      <c r="J68" s="390"/>
      <c r="K68" s="390"/>
      <c r="L68" s="773"/>
      <c r="M68" s="773"/>
      <c r="N68" s="773"/>
      <c r="O68" s="773"/>
      <c r="P68" s="773"/>
      <c r="Q68" s="773"/>
      <c r="R68" s="773"/>
      <c r="S68" s="773"/>
    </row>
    <row r="69" spans="2:19" ht="15">
      <c r="B69" s="390"/>
      <c r="C69" s="390"/>
      <c r="D69" s="390"/>
      <c r="E69" s="390"/>
      <c r="F69" s="390"/>
      <c r="G69" s="390"/>
      <c r="H69" s="390"/>
      <c r="I69" s="390"/>
      <c r="J69" s="390"/>
      <c r="K69" s="390"/>
      <c r="L69" s="773"/>
      <c r="M69" s="773"/>
      <c r="N69" s="773"/>
      <c r="O69" s="773"/>
      <c r="P69" s="773"/>
      <c r="Q69" s="773"/>
      <c r="R69" s="773"/>
      <c r="S69" s="773"/>
    </row>
    <row r="70" spans="2:19" ht="15">
      <c r="B70" s="390"/>
      <c r="C70" s="390"/>
      <c r="D70" s="390"/>
      <c r="E70" s="390"/>
      <c r="F70" s="390"/>
      <c r="G70" s="390"/>
      <c r="H70" s="390"/>
      <c r="I70" s="390"/>
      <c r="J70" s="390"/>
      <c r="K70" s="390"/>
      <c r="L70" s="390"/>
      <c r="M70" s="390"/>
      <c r="N70" s="390"/>
      <c r="O70" s="390"/>
      <c r="P70" s="390"/>
      <c r="Q70" s="390"/>
      <c r="R70" s="390"/>
      <c r="S70" s="390"/>
    </row>
    <row r="71" spans="2:19" ht="15">
      <c r="B71" s="390"/>
      <c r="C71" s="390"/>
      <c r="D71" s="390"/>
      <c r="E71" s="390"/>
      <c r="F71" s="390"/>
      <c r="G71" s="390"/>
      <c r="H71" s="390"/>
      <c r="I71" s="390"/>
      <c r="J71" s="390"/>
      <c r="K71" s="390"/>
      <c r="L71" s="390"/>
      <c r="M71" s="390"/>
      <c r="N71" s="390"/>
      <c r="O71" s="390"/>
      <c r="P71" s="390"/>
      <c r="Q71" s="390"/>
      <c r="R71" s="390"/>
      <c r="S71" s="390"/>
    </row>
    <row r="72" spans="2:19" ht="15">
      <c r="B72" s="390"/>
      <c r="C72" s="390"/>
      <c r="D72" s="390"/>
      <c r="E72" s="390"/>
      <c r="F72" s="390"/>
      <c r="G72" s="390"/>
      <c r="H72" s="390"/>
      <c r="I72" s="390"/>
      <c r="J72" s="390"/>
      <c r="K72" s="390"/>
      <c r="L72" s="390"/>
      <c r="M72" s="390"/>
      <c r="N72" s="390"/>
      <c r="O72" s="390"/>
      <c r="P72" s="390"/>
      <c r="Q72" s="390"/>
      <c r="R72" s="390"/>
      <c r="S72" s="390"/>
    </row>
    <row r="73" spans="2:19" ht="15">
      <c r="B73" s="390"/>
      <c r="C73" s="390"/>
      <c r="D73" s="390"/>
      <c r="E73" s="390"/>
      <c r="F73" s="390"/>
      <c r="G73" s="390"/>
      <c r="H73" s="390"/>
      <c r="I73" s="390"/>
      <c r="J73" s="390"/>
      <c r="K73" s="390"/>
      <c r="L73" s="390"/>
      <c r="M73" s="390"/>
      <c r="N73" s="390"/>
      <c r="O73" s="390"/>
      <c r="P73" s="390"/>
      <c r="Q73" s="390"/>
      <c r="R73" s="390"/>
      <c r="S73" s="390"/>
    </row>
    <row r="74" spans="2:19" ht="15">
      <c r="B74" s="390"/>
      <c r="C74" s="390"/>
      <c r="D74" s="390"/>
      <c r="E74" s="390"/>
      <c r="F74" s="390"/>
      <c r="G74" s="390"/>
      <c r="H74" s="390"/>
      <c r="I74" s="390"/>
      <c r="J74" s="390"/>
      <c r="K74" s="390"/>
      <c r="L74" s="390"/>
      <c r="M74" s="390"/>
      <c r="N74" s="390"/>
      <c r="O74" s="390"/>
      <c r="P74" s="390"/>
      <c r="Q74" s="390"/>
      <c r="R74" s="390"/>
      <c r="S74" s="390"/>
    </row>
    <row r="75" spans="2:19" ht="15">
      <c r="B75" s="390"/>
      <c r="C75" s="390"/>
      <c r="D75" s="390"/>
      <c r="E75" s="390"/>
      <c r="F75" s="390"/>
      <c r="G75" s="390"/>
      <c r="H75" s="390"/>
      <c r="I75" s="390"/>
      <c r="J75" s="390"/>
      <c r="K75" s="390"/>
      <c r="L75" s="390"/>
      <c r="M75" s="390"/>
      <c r="N75" s="390"/>
      <c r="O75" s="390"/>
      <c r="P75" s="390"/>
      <c r="Q75" s="390"/>
      <c r="R75" s="390"/>
      <c r="S75" s="390"/>
    </row>
    <row r="76" spans="2:19" ht="15">
      <c r="B76" s="390"/>
      <c r="C76" s="390"/>
      <c r="D76" s="390"/>
      <c r="E76" s="390"/>
      <c r="F76" s="390"/>
      <c r="G76" s="390"/>
      <c r="H76" s="390"/>
      <c r="I76" s="390"/>
      <c r="J76" s="390"/>
      <c r="K76" s="390"/>
      <c r="L76" s="390"/>
      <c r="M76" s="390"/>
      <c r="N76" s="390"/>
      <c r="O76" s="390"/>
      <c r="P76" s="390"/>
      <c r="Q76" s="390"/>
      <c r="R76" s="390"/>
      <c r="S76" s="390"/>
    </row>
    <row r="77" spans="2:19" ht="15">
      <c r="B77" s="390"/>
      <c r="C77" s="390"/>
      <c r="D77" s="390"/>
      <c r="E77" s="390"/>
      <c r="F77" s="390"/>
      <c r="G77" s="390"/>
      <c r="H77" s="390"/>
      <c r="I77" s="390"/>
      <c r="J77" s="390"/>
      <c r="K77" s="390"/>
      <c r="L77" s="390"/>
      <c r="M77" s="390"/>
      <c r="N77" s="390"/>
      <c r="O77" s="390"/>
      <c r="P77" s="390"/>
      <c r="Q77" s="390"/>
      <c r="R77" s="390"/>
      <c r="S77" s="390"/>
    </row>
    <row r="78" spans="2:19" ht="15">
      <c r="B78" s="390"/>
      <c r="C78" s="390"/>
      <c r="D78" s="390"/>
      <c r="E78" s="390"/>
      <c r="F78" s="390"/>
      <c r="G78" s="390"/>
      <c r="H78" s="390"/>
      <c r="I78" s="390"/>
      <c r="J78" s="390"/>
      <c r="K78" s="390"/>
      <c r="L78" s="390"/>
      <c r="M78" s="390"/>
      <c r="N78" s="390"/>
      <c r="O78" s="390"/>
      <c r="P78" s="390"/>
      <c r="Q78" s="390"/>
      <c r="R78" s="390"/>
      <c r="S78" s="390"/>
    </row>
    <row r="79" spans="2:19" ht="15">
      <c r="B79" s="390"/>
      <c r="C79" s="390"/>
      <c r="D79" s="390"/>
      <c r="E79" s="390"/>
      <c r="F79" s="390"/>
      <c r="G79" s="390"/>
      <c r="H79" s="390"/>
      <c r="I79" s="390"/>
      <c r="J79" s="390"/>
      <c r="K79" s="390"/>
      <c r="L79" s="390"/>
      <c r="M79" s="390"/>
      <c r="N79" s="390"/>
      <c r="O79" s="390"/>
      <c r="P79" s="390"/>
      <c r="Q79" s="390"/>
      <c r="R79" s="390"/>
      <c r="S79" s="390"/>
    </row>
    <row r="80" spans="2:19" ht="15">
      <c r="B80" s="390"/>
      <c r="C80" s="390"/>
      <c r="D80" s="390"/>
      <c r="E80" s="390"/>
      <c r="F80" s="390"/>
      <c r="G80" s="390"/>
      <c r="H80" s="390"/>
      <c r="I80" s="390"/>
      <c r="J80" s="390"/>
      <c r="K80" s="390"/>
      <c r="L80" s="390"/>
      <c r="M80" s="390"/>
      <c r="N80" s="390"/>
      <c r="O80" s="390"/>
      <c r="P80" s="390"/>
      <c r="Q80" s="390"/>
      <c r="R80" s="390"/>
      <c r="S80" s="390"/>
    </row>
    <row r="81" spans="2:19" ht="15">
      <c r="B81" s="390"/>
      <c r="C81" s="390"/>
      <c r="D81" s="390"/>
      <c r="E81" s="390"/>
      <c r="F81" s="390"/>
      <c r="G81" s="390"/>
      <c r="H81" s="390"/>
      <c r="I81" s="390"/>
      <c r="J81" s="390"/>
      <c r="K81" s="390"/>
      <c r="L81" s="390"/>
      <c r="M81" s="390"/>
      <c r="N81" s="390"/>
      <c r="O81" s="390"/>
      <c r="P81" s="390"/>
      <c r="Q81" s="390"/>
      <c r="R81" s="390"/>
      <c r="S81" s="390"/>
    </row>
    <row r="82" ht="13.5" customHeight="1"/>
    <row r="83" spans="3:25" ht="15">
      <c r="C83" s="254">
        <v>1</v>
      </c>
      <c r="D83" s="254">
        <v>2</v>
      </c>
      <c r="E83" s="254">
        <v>3</v>
      </c>
      <c r="F83" s="254">
        <v>4</v>
      </c>
      <c r="G83" s="254">
        <v>5</v>
      </c>
      <c r="H83" s="254">
        <v>6</v>
      </c>
      <c r="I83" s="254">
        <v>7</v>
      </c>
      <c r="J83" s="254">
        <v>8</v>
      </c>
      <c r="K83" s="254">
        <v>9</v>
      </c>
      <c r="L83" s="254">
        <v>10</v>
      </c>
      <c r="M83" s="254">
        <v>11</v>
      </c>
      <c r="N83" s="254">
        <v>12</v>
      </c>
      <c r="O83" s="254">
        <v>13</v>
      </c>
      <c r="P83" s="254">
        <v>14</v>
      </c>
      <c r="Q83" s="254">
        <v>15</v>
      </c>
      <c r="R83" s="254">
        <v>16</v>
      </c>
      <c r="S83" s="254">
        <v>17</v>
      </c>
      <c r="T83" s="254">
        <v>18</v>
      </c>
      <c r="U83" s="254">
        <v>19</v>
      </c>
      <c r="V83" s="254">
        <v>20</v>
      </c>
      <c r="W83" s="254">
        <v>21</v>
      </c>
      <c r="X83" s="254">
        <v>22</v>
      </c>
      <c r="Y83" s="254">
        <v>23</v>
      </c>
    </row>
    <row r="84" spans="1:26" ht="15">
      <c r="A84" s="259" t="s">
        <v>76</v>
      </c>
      <c r="B84" s="116">
        <v>2005</v>
      </c>
      <c r="C84" s="116">
        <v>2006</v>
      </c>
      <c r="D84" s="116">
        <v>2007</v>
      </c>
      <c r="E84" s="116">
        <v>2008</v>
      </c>
      <c r="F84" s="116">
        <v>2009</v>
      </c>
      <c r="G84" s="116">
        <v>2010</v>
      </c>
      <c r="H84" s="116">
        <v>2011</v>
      </c>
      <c r="I84" s="116">
        <v>2012</v>
      </c>
      <c r="J84" s="116">
        <v>2013</v>
      </c>
      <c r="K84" s="116">
        <v>2014</v>
      </c>
      <c r="L84" s="116">
        <v>2015</v>
      </c>
      <c r="M84" s="116">
        <v>2016</v>
      </c>
      <c r="N84" s="116">
        <v>2017</v>
      </c>
      <c r="O84" s="116">
        <v>2018</v>
      </c>
      <c r="P84" s="116">
        <v>2019</v>
      </c>
      <c r="Q84" s="116">
        <v>2020</v>
      </c>
      <c r="R84" s="116">
        <v>2021</v>
      </c>
      <c r="S84" s="116">
        <v>2022</v>
      </c>
      <c r="T84" s="116">
        <v>2023</v>
      </c>
      <c r="U84" s="116">
        <v>2024</v>
      </c>
      <c r="V84" s="116">
        <v>2025</v>
      </c>
      <c r="W84" s="116">
        <v>2026</v>
      </c>
      <c r="X84" s="116">
        <v>2027</v>
      </c>
      <c r="Y84" s="116">
        <v>2028</v>
      </c>
      <c r="Z84" s="455" t="s">
        <v>77</v>
      </c>
    </row>
    <row r="85" spans="1:26" ht="12.75" customHeight="1">
      <c r="A85" s="325" t="s">
        <v>368</v>
      </c>
      <c r="B85" s="703"/>
      <c r="C85" s="154">
        <f>ECO!C56</f>
        <v>0.266</v>
      </c>
      <c r="D85" s="166"/>
      <c r="E85" s="166"/>
      <c r="F85" s="154">
        <f>ECO!F56</f>
        <v>0.263</v>
      </c>
      <c r="G85" s="166"/>
      <c r="H85" s="166"/>
      <c r="I85" s="530">
        <f>ECO!I56</f>
        <v>0.252</v>
      </c>
      <c r="J85" s="842">
        <f>ECO!J56</f>
        <v>0.246</v>
      </c>
      <c r="K85" s="844">
        <f>ECO!K56</f>
        <v>0.258</v>
      </c>
      <c r="L85" s="450">
        <f>K85-($K$85-$Y$85)/14</f>
        <v>0.25585714285714284</v>
      </c>
      <c r="M85" s="450">
        <f aca="true" t="shared" si="17" ref="M85:X85">L85-($K$85-$Y$85)/14</f>
        <v>0.25371428571428567</v>
      </c>
      <c r="N85" s="450">
        <f t="shared" si="17"/>
        <v>0.2515714285714285</v>
      </c>
      <c r="O85" s="450">
        <f t="shared" si="17"/>
        <v>0.24942857142857136</v>
      </c>
      <c r="P85" s="450">
        <f t="shared" si="17"/>
        <v>0.24728571428571422</v>
      </c>
      <c r="Q85" s="450">
        <f t="shared" si="17"/>
        <v>0.24514285714285708</v>
      </c>
      <c r="R85" s="450">
        <f>Q85-($K$85-$Y$85)/14</f>
        <v>0.24299999999999994</v>
      </c>
      <c r="S85" s="450">
        <f t="shared" si="17"/>
        <v>0.2408571428571428</v>
      </c>
      <c r="T85" s="450">
        <f t="shared" si="17"/>
        <v>0.23871428571428566</v>
      </c>
      <c r="U85" s="450">
        <f t="shared" si="17"/>
        <v>0.23657142857142852</v>
      </c>
      <c r="V85" s="450">
        <f t="shared" si="17"/>
        <v>0.23442857142857138</v>
      </c>
      <c r="W85" s="450">
        <f t="shared" si="17"/>
        <v>0.23228571428571423</v>
      </c>
      <c r="X85" s="450">
        <f t="shared" si="17"/>
        <v>0.2301428571428571</v>
      </c>
      <c r="Y85" s="943">
        <v>0.228</v>
      </c>
      <c r="Z85" s="1171" t="s">
        <v>592</v>
      </c>
    </row>
    <row r="86" spans="1:26" ht="15">
      <c r="A86" s="325"/>
      <c r="B86" s="703"/>
      <c r="C86" s="154"/>
      <c r="D86" s="154"/>
      <c r="E86" s="154"/>
      <c r="F86" s="154"/>
      <c r="G86" s="154"/>
      <c r="H86" s="154"/>
      <c r="I86" s="701"/>
      <c r="J86" s="701"/>
      <c r="K86" s="826"/>
      <c r="L86" s="702"/>
      <c r="M86" s="702"/>
      <c r="N86" s="702"/>
      <c r="O86" s="702"/>
      <c r="P86" s="702"/>
      <c r="Q86" s="702"/>
      <c r="R86" s="702"/>
      <c r="S86" s="702"/>
      <c r="T86" s="702"/>
      <c r="U86" s="702"/>
      <c r="V86" s="702"/>
      <c r="W86" s="702"/>
      <c r="X86" s="702"/>
      <c r="Y86" s="827"/>
      <c r="Z86" s="1171"/>
    </row>
    <row r="87" spans="1:26" ht="15">
      <c r="A87" s="325" t="s">
        <v>515</v>
      </c>
      <c r="B87" s="703"/>
      <c r="C87" s="154">
        <f>ECO!C58</f>
        <v>0.229</v>
      </c>
      <c r="D87" s="154"/>
      <c r="E87" s="154"/>
      <c r="F87" s="154">
        <f>ECO!F58</f>
        <v>0.228</v>
      </c>
      <c r="G87" s="154"/>
      <c r="H87" s="154"/>
      <c r="I87" s="154">
        <f>ECO!I58</f>
        <v>0.219</v>
      </c>
      <c r="J87" s="166">
        <f>J85*$I$93</f>
        <v>0.2137857142857143</v>
      </c>
      <c r="K87" s="835">
        <f aca="true" t="shared" si="18" ref="K87:R87">K85*$I$93</f>
        <v>0.22421428571428573</v>
      </c>
      <c r="L87" s="450">
        <f t="shared" si="18"/>
        <v>0.2223520408163265</v>
      </c>
      <c r="M87" s="450">
        <f t="shared" si="18"/>
        <v>0.22048979591836732</v>
      </c>
      <c r="N87" s="450">
        <f t="shared" si="18"/>
        <v>0.2186275510204081</v>
      </c>
      <c r="O87" s="450">
        <f t="shared" si="18"/>
        <v>0.21676530612244893</v>
      </c>
      <c r="P87" s="450">
        <f t="shared" si="18"/>
        <v>0.21490306122448974</v>
      </c>
      <c r="Q87" s="450">
        <f t="shared" si="18"/>
        <v>0.21304081632653057</v>
      </c>
      <c r="R87" s="450">
        <f t="shared" si="18"/>
        <v>0.21117857142857138</v>
      </c>
      <c r="S87" s="450">
        <f>S85*$I$93</f>
        <v>0.2093163265306122</v>
      </c>
      <c r="T87" s="450">
        <f aca="true" t="shared" si="19" ref="T87:Y87">T85*$I$93</f>
        <v>0.20745408163265303</v>
      </c>
      <c r="U87" s="450">
        <f t="shared" si="19"/>
        <v>0.20559183673469383</v>
      </c>
      <c r="V87" s="450">
        <f t="shared" si="19"/>
        <v>0.20372959183673464</v>
      </c>
      <c r="W87" s="450">
        <f t="shared" si="19"/>
        <v>0.20186734693877548</v>
      </c>
      <c r="X87" s="450">
        <f t="shared" si="19"/>
        <v>0.20000510204081628</v>
      </c>
      <c r="Y87" s="450">
        <f t="shared" si="19"/>
        <v>0.19814285714285715</v>
      </c>
      <c r="Z87" s="1171"/>
    </row>
    <row r="88" spans="1:26" ht="15">
      <c r="A88" s="325" t="s">
        <v>518</v>
      </c>
      <c r="B88" s="703"/>
      <c r="C88" s="154">
        <f>ECO!C59</f>
        <v>0.169</v>
      </c>
      <c r="D88" s="154"/>
      <c r="E88" s="154"/>
      <c r="F88" s="154">
        <f>ECO!F59</f>
        <v>0.161</v>
      </c>
      <c r="G88" s="154"/>
      <c r="H88" s="154"/>
      <c r="I88" s="154">
        <f>ECO!I59</f>
        <v>0.162</v>
      </c>
      <c r="J88" s="166">
        <f>$I$94*J85</f>
        <v>0.15814285714285714</v>
      </c>
      <c r="K88" s="835">
        <f aca="true" t="shared" si="20" ref="K88:Y88">$I$94*K85</f>
        <v>0.16585714285714287</v>
      </c>
      <c r="L88" s="450">
        <f t="shared" si="20"/>
        <v>0.1644795918367347</v>
      </c>
      <c r="M88" s="450">
        <f t="shared" si="20"/>
        <v>0.1631020408163265</v>
      </c>
      <c r="N88" s="450">
        <f t="shared" si="20"/>
        <v>0.16172448979591833</v>
      </c>
      <c r="O88" s="450">
        <f t="shared" si="20"/>
        <v>0.16034693877551018</v>
      </c>
      <c r="P88" s="450">
        <f t="shared" si="20"/>
        <v>0.158969387755102</v>
      </c>
      <c r="Q88" s="450">
        <f t="shared" si="20"/>
        <v>0.15759183673469385</v>
      </c>
      <c r="R88" s="450">
        <f t="shared" si="20"/>
        <v>0.1562142857142857</v>
      </c>
      <c r="S88" s="450">
        <f t="shared" si="20"/>
        <v>0.15483673469387751</v>
      </c>
      <c r="T88" s="450">
        <f t="shared" si="20"/>
        <v>0.15345918367346936</v>
      </c>
      <c r="U88" s="450">
        <f t="shared" si="20"/>
        <v>0.1520816326530612</v>
      </c>
      <c r="V88" s="450">
        <f t="shared" si="20"/>
        <v>0.15070408163265303</v>
      </c>
      <c r="W88" s="450">
        <f t="shared" si="20"/>
        <v>0.14932653061224488</v>
      </c>
      <c r="X88" s="450">
        <f t="shared" si="20"/>
        <v>0.14794897959183673</v>
      </c>
      <c r="Y88" s="450">
        <f t="shared" si="20"/>
        <v>0.14657142857142857</v>
      </c>
      <c r="Z88" s="1171"/>
    </row>
    <row r="89" spans="1:26" s="179" customFormat="1" ht="15">
      <c r="A89" s="325" t="s">
        <v>510</v>
      </c>
      <c r="B89" s="703"/>
      <c r="C89" s="154">
        <v>0.3</v>
      </c>
      <c r="D89" s="166"/>
      <c r="E89" s="166"/>
      <c r="F89" s="154">
        <v>0.29</v>
      </c>
      <c r="G89" s="166"/>
      <c r="H89" s="166"/>
      <c r="I89" s="530">
        <v>0.29</v>
      </c>
      <c r="J89" s="166">
        <f aca="true" t="shared" si="21" ref="J89:Q89">J85*$I$95</f>
        <v>0.28309523809523807</v>
      </c>
      <c r="K89" s="835">
        <f t="shared" si="21"/>
        <v>0.2969047619047619</v>
      </c>
      <c r="L89" s="450">
        <f t="shared" si="21"/>
        <v>0.29443877551020403</v>
      </c>
      <c r="M89" s="450">
        <f t="shared" si="21"/>
        <v>0.29197278911564617</v>
      </c>
      <c r="N89" s="450">
        <f t="shared" si="21"/>
        <v>0.2895068027210883</v>
      </c>
      <c r="O89" s="450">
        <f t="shared" si="21"/>
        <v>0.2870408163265305</v>
      </c>
      <c r="P89" s="450">
        <f t="shared" si="21"/>
        <v>0.2845748299319727</v>
      </c>
      <c r="Q89" s="450">
        <f t="shared" si="21"/>
        <v>0.2821088435374149</v>
      </c>
      <c r="R89" s="450">
        <f>R85*$I$95</f>
        <v>0.279642857142857</v>
      </c>
      <c r="S89" s="450">
        <f>S85*$I$95</f>
        <v>0.2771768707482992</v>
      </c>
      <c r="T89" s="450">
        <f aca="true" t="shared" si="22" ref="T89:Y89">T85*$I$95</f>
        <v>0.2747108843537414</v>
      </c>
      <c r="U89" s="450">
        <f t="shared" si="22"/>
        <v>0.2722448979591836</v>
      </c>
      <c r="V89" s="450">
        <f t="shared" si="22"/>
        <v>0.26977891156462575</v>
      </c>
      <c r="W89" s="450">
        <f t="shared" si="22"/>
        <v>0.26731292517006794</v>
      </c>
      <c r="X89" s="450">
        <f t="shared" si="22"/>
        <v>0.26484693877551013</v>
      </c>
      <c r="Y89" s="450">
        <f t="shared" si="22"/>
        <v>0.2623809523809524</v>
      </c>
      <c r="Z89" s="1171"/>
    </row>
    <row r="90" spans="1:26" s="179" customFormat="1" ht="15">
      <c r="A90" s="582" t="s">
        <v>366</v>
      </c>
      <c r="B90" s="703"/>
      <c r="C90" s="154">
        <v>0.275</v>
      </c>
      <c r="D90" s="166"/>
      <c r="E90" s="166"/>
      <c r="F90" s="154">
        <v>0.263</v>
      </c>
      <c r="G90" s="166"/>
      <c r="H90" s="166"/>
      <c r="I90" s="530">
        <v>0.26</v>
      </c>
      <c r="J90" s="166">
        <f>J85*$I$96</f>
        <v>0.2538095238095238</v>
      </c>
      <c r="K90" s="835">
        <f aca="true" t="shared" si="23" ref="K90:Y90">K85*$I$96</f>
        <v>0.2661904761904762</v>
      </c>
      <c r="L90" s="450">
        <f t="shared" si="23"/>
        <v>0.2639795918367347</v>
      </c>
      <c r="M90" s="450">
        <f t="shared" si="23"/>
        <v>0.2617687074829932</v>
      </c>
      <c r="N90" s="450">
        <f t="shared" si="23"/>
        <v>0.25955782312925163</v>
      </c>
      <c r="O90" s="450">
        <f t="shared" si="23"/>
        <v>0.2573469387755102</v>
      </c>
      <c r="P90" s="450">
        <f t="shared" si="23"/>
        <v>0.2551360544217687</v>
      </c>
      <c r="Q90" s="450">
        <f t="shared" si="23"/>
        <v>0.25292517006802717</v>
      </c>
      <c r="R90" s="450">
        <f t="shared" si="23"/>
        <v>0.25071428571428567</v>
      </c>
      <c r="S90" s="450">
        <f t="shared" si="23"/>
        <v>0.2485034013605442</v>
      </c>
      <c r="T90" s="450">
        <f t="shared" si="23"/>
        <v>0.24629251700680269</v>
      </c>
      <c r="U90" s="450">
        <f t="shared" si="23"/>
        <v>0.24408163265306118</v>
      </c>
      <c r="V90" s="450">
        <f t="shared" si="23"/>
        <v>0.2418707482993197</v>
      </c>
      <c r="W90" s="450">
        <f t="shared" si="23"/>
        <v>0.2396598639455782</v>
      </c>
      <c r="X90" s="450">
        <f t="shared" si="23"/>
        <v>0.2374489795918367</v>
      </c>
      <c r="Y90" s="450">
        <f t="shared" si="23"/>
        <v>0.23523809523809527</v>
      </c>
      <c r="Z90" s="1171"/>
    </row>
    <row r="91" spans="1:26" s="179" customFormat="1" ht="15">
      <c r="A91" s="582" t="s">
        <v>367</v>
      </c>
      <c r="B91" s="703"/>
      <c r="C91" s="154">
        <v>0.387</v>
      </c>
      <c r="D91" s="166"/>
      <c r="E91" s="166"/>
      <c r="F91" s="154">
        <v>0.396</v>
      </c>
      <c r="G91" s="166"/>
      <c r="H91" s="166"/>
      <c r="I91" s="530">
        <v>0.373</v>
      </c>
      <c r="J91" s="166">
        <f>J85*$I$97</f>
        <v>0.3641190476190476</v>
      </c>
      <c r="K91" s="835">
        <f aca="true" t="shared" si="24" ref="K91:Y91">K85*$I$97</f>
        <v>0.38188095238095243</v>
      </c>
      <c r="L91" s="450">
        <f t="shared" si="24"/>
        <v>0.3787091836734694</v>
      </c>
      <c r="M91" s="450">
        <f t="shared" si="24"/>
        <v>0.37553741496598636</v>
      </c>
      <c r="N91" s="450">
        <f t="shared" si="24"/>
        <v>0.3723656462585033</v>
      </c>
      <c r="O91" s="450">
        <f t="shared" si="24"/>
        <v>0.36919387755102034</v>
      </c>
      <c r="P91" s="450">
        <f t="shared" si="24"/>
        <v>0.3660221088435373</v>
      </c>
      <c r="Q91" s="450">
        <f t="shared" si="24"/>
        <v>0.36285034013605433</v>
      </c>
      <c r="R91" s="450">
        <f t="shared" si="24"/>
        <v>0.35967857142857135</v>
      </c>
      <c r="S91" s="450">
        <f t="shared" si="24"/>
        <v>0.35650680272108837</v>
      </c>
      <c r="T91" s="450">
        <f t="shared" si="24"/>
        <v>0.3533350340136054</v>
      </c>
      <c r="U91" s="450">
        <f t="shared" si="24"/>
        <v>0.3501632653061224</v>
      </c>
      <c r="V91" s="450">
        <f t="shared" si="24"/>
        <v>0.34699149659863937</v>
      </c>
      <c r="W91" s="450">
        <f t="shared" si="24"/>
        <v>0.3438197278911564</v>
      </c>
      <c r="X91" s="450">
        <f t="shared" si="24"/>
        <v>0.3406479591836734</v>
      </c>
      <c r="Y91" s="846">
        <f t="shared" si="24"/>
        <v>0.3374761904761905</v>
      </c>
      <c r="Z91" s="254"/>
    </row>
    <row r="92" spans="1:25" ht="15">
      <c r="A92" s="582"/>
      <c r="B92" s="703"/>
      <c r="C92" s="154"/>
      <c r="D92" s="166"/>
      <c r="E92" s="166"/>
      <c r="F92" s="154"/>
      <c r="G92" s="166"/>
      <c r="H92" s="166"/>
      <c r="I92" s="530"/>
      <c r="J92" s="216"/>
      <c r="K92" s="529"/>
      <c r="L92" s="450"/>
      <c r="M92" s="450"/>
      <c r="N92" s="450"/>
      <c r="O92" s="450"/>
      <c r="P92" s="450"/>
      <c r="Q92" s="450"/>
      <c r="R92" s="450"/>
      <c r="S92" s="450"/>
      <c r="T92" s="450"/>
      <c r="U92" s="450"/>
      <c r="V92" s="450"/>
      <c r="W92" s="450"/>
      <c r="X92" s="450"/>
      <c r="Y92" s="451"/>
    </row>
    <row r="93" spans="1:25" ht="15">
      <c r="A93" s="582" t="s">
        <v>521</v>
      </c>
      <c r="B93" s="703"/>
      <c r="C93" s="848">
        <f>C87/C85</f>
        <v>0.8609022556390977</v>
      </c>
      <c r="D93" s="166"/>
      <c r="E93" s="166"/>
      <c r="F93" s="848">
        <f>F87/F85</f>
        <v>0.8669201520912547</v>
      </c>
      <c r="G93" s="847"/>
      <c r="H93" s="847"/>
      <c r="I93" s="848">
        <f>I87/I85</f>
        <v>0.8690476190476191</v>
      </c>
      <c r="J93" s="216"/>
      <c r="K93" s="845"/>
      <c r="L93" s="450"/>
      <c r="M93" s="450"/>
      <c r="N93" s="450"/>
      <c r="O93" s="450"/>
      <c r="P93" s="450"/>
      <c r="Q93" s="450"/>
      <c r="R93" s="450"/>
      <c r="S93" s="450"/>
      <c r="T93" s="450"/>
      <c r="U93" s="450"/>
      <c r="V93" s="450"/>
      <c r="W93" s="450"/>
      <c r="X93" s="450"/>
      <c r="Y93" s="846"/>
    </row>
    <row r="94" spans="1:25" ht="15">
      <c r="A94" s="582" t="s">
        <v>520</v>
      </c>
      <c r="B94" s="703"/>
      <c r="C94" s="848">
        <f>C88/C85</f>
        <v>0.6353383458646616</v>
      </c>
      <c r="D94" s="166"/>
      <c r="E94" s="166"/>
      <c r="F94" s="848">
        <f>F88/F85</f>
        <v>0.6121673003802282</v>
      </c>
      <c r="G94" s="166"/>
      <c r="H94" s="166"/>
      <c r="I94" s="848">
        <f>I88/I85</f>
        <v>0.6428571428571429</v>
      </c>
      <c r="J94" s="216"/>
      <c r="K94" s="845"/>
      <c r="L94" s="450"/>
      <c r="M94" s="450"/>
      <c r="N94" s="450"/>
      <c r="O94" s="450"/>
      <c r="P94" s="450"/>
      <c r="Q94" s="450"/>
      <c r="R94" s="450"/>
      <c r="S94" s="450"/>
      <c r="T94" s="450"/>
      <c r="U94" s="450"/>
      <c r="V94" s="450"/>
      <c r="W94" s="450"/>
      <c r="X94" s="450"/>
      <c r="Y94" s="846"/>
    </row>
    <row r="95" spans="1:25" ht="15">
      <c r="A95" s="582" t="s">
        <v>512</v>
      </c>
      <c r="B95" s="838"/>
      <c r="C95" s="848">
        <f>C89/C85</f>
        <v>1.1278195488721803</v>
      </c>
      <c r="D95" s="833"/>
      <c r="E95" s="833"/>
      <c r="F95" s="848">
        <f>F89/F85</f>
        <v>1.1026615969581748</v>
      </c>
      <c r="G95" s="848"/>
      <c r="H95" s="848"/>
      <c r="I95" s="850">
        <f>I89/I85</f>
        <v>1.1507936507936507</v>
      </c>
      <c r="J95" s="216"/>
      <c r="K95" s="529"/>
      <c r="L95" s="450"/>
      <c r="M95" s="450"/>
      <c r="N95" s="450"/>
      <c r="O95" s="450"/>
      <c r="P95" s="450"/>
      <c r="Q95" s="450"/>
      <c r="R95" s="450"/>
      <c r="S95" s="450"/>
      <c r="T95" s="450"/>
      <c r="U95" s="450"/>
      <c r="V95" s="450"/>
      <c r="W95" s="450"/>
      <c r="X95" s="450"/>
      <c r="Y95" s="451"/>
    </row>
    <row r="96" spans="1:25" ht="15">
      <c r="A96" s="582" t="s">
        <v>511</v>
      </c>
      <c r="B96" s="838"/>
      <c r="C96" s="848">
        <f>C90/C85</f>
        <v>1.0338345864661656</v>
      </c>
      <c r="D96" s="833"/>
      <c r="E96" s="833"/>
      <c r="F96" s="848">
        <f>F90/F85</f>
        <v>1</v>
      </c>
      <c r="G96" s="848"/>
      <c r="H96" s="848"/>
      <c r="I96" s="850">
        <f>I90/I85</f>
        <v>1.0317460317460319</v>
      </c>
      <c r="J96" s="216"/>
      <c r="K96" s="529"/>
      <c r="L96" s="450"/>
      <c r="M96" s="450"/>
      <c r="N96" s="450"/>
      <c r="O96" s="450"/>
      <c r="P96" s="450"/>
      <c r="Q96" s="450"/>
      <c r="R96" s="450"/>
      <c r="S96" s="450"/>
      <c r="T96" s="450"/>
      <c r="U96" s="450"/>
      <c r="V96" s="450"/>
      <c r="W96" s="450"/>
      <c r="X96" s="450"/>
      <c r="Y96" s="451"/>
    </row>
    <row r="97" spans="1:25" ht="15">
      <c r="A97" s="704" t="s">
        <v>513</v>
      </c>
      <c r="B97" s="839"/>
      <c r="C97" s="849">
        <f>C91/C85</f>
        <v>1.4548872180451127</v>
      </c>
      <c r="D97" s="834"/>
      <c r="E97" s="834"/>
      <c r="F97" s="849">
        <f>F91/F85</f>
        <v>1.505703422053232</v>
      </c>
      <c r="G97" s="849"/>
      <c r="H97" s="849"/>
      <c r="I97" s="851">
        <f>I91/I85</f>
        <v>1.4801587301587302</v>
      </c>
      <c r="J97" s="829"/>
      <c r="K97" s="830"/>
      <c r="L97" s="831"/>
      <c r="M97" s="831"/>
      <c r="N97" s="831"/>
      <c r="O97" s="831"/>
      <c r="P97" s="831"/>
      <c r="Q97" s="831"/>
      <c r="R97" s="831"/>
      <c r="S97" s="831"/>
      <c r="T97" s="831"/>
      <c r="U97" s="831"/>
      <c r="V97" s="831"/>
      <c r="W97" s="831"/>
      <c r="X97" s="831"/>
      <c r="Y97" s="832"/>
    </row>
    <row r="99" spans="4:25" ht="15">
      <c r="D99" s="254">
        <v>1</v>
      </c>
      <c r="E99" s="254">
        <v>2</v>
      </c>
      <c r="F99" s="254">
        <v>3</v>
      </c>
      <c r="G99" s="254">
        <v>4</v>
      </c>
      <c r="H99" s="254">
        <v>5</v>
      </c>
      <c r="I99" s="254">
        <v>6</v>
      </c>
      <c r="J99" s="254">
        <v>7</v>
      </c>
      <c r="K99" s="254">
        <v>8</v>
      </c>
      <c r="L99" s="254">
        <v>9</v>
      </c>
      <c r="M99" s="254">
        <v>10</v>
      </c>
      <c r="N99" s="254">
        <v>11</v>
      </c>
      <c r="O99" s="254">
        <v>12</v>
      </c>
      <c r="P99" s="254">
        <v>13</v>
      </c>
      <c r="Q99" s="254">
        <v>14</v>
      </c>
      <c r="R99" s="254">
        <v>15</v>
      </c>
      <c r="S99" s="254">
        <v>16</v>
      </c>
      <c r="T99" s="254">
        <v>17</v>
      </c>
      <c r="U99" s="254">
        <v>18</v>
      </c>
      <c r="V99" s="254">
        <v>19</v>
      </c>
      <c r="W99" s="254">
        <v>20</v>
      </c>
      <c r="X99" s="254">
        <v>21</v>
      </c>
      <c r="Y99" s="254">
        <v>22</v>
      </c>
    </row>
    <row r="100" spans="1:26" ht="15">
      <c r="A100" s="259" t="s">
        <v>76</v>
      </c>
      <c r="B100" s="116">
        <v>2005</v>
      </c>
      <c r="C100" s="116">
        <v>2006</v>
      </c>
      <c r="D100" s="116">
        <v>2007</v>
      </c>
      <c r="E100" s="116">
        <v>2008</v>
      </c>
      <c r="F100" s="116">
        <v>2009</v>
      </c>
      <c r="G100" s="116">
        <v>2010</v>
      </c>
      <c r="H100" s="116">
        <v>2011</v>
      </c>
      <c r="I100" s="116">
        <v>2012</v>
      </c>
      <c r="J100" s="116">
        <v>2013</v>
      </c>
      <c r="K100" s="82">
        <v>2014</v>
      </c>
      <c r="L100" s="82">
        <v>2015</v>
      </c>
      <c r="M100" s="82">
        <v>2016</v>
      </c>
      <c r="N100" s="82">
        <v>2017</v>
      </c>
      <c r="O100" s="82">
        <v>2018</v>
      </c>
      <c r="P100" s="82">
        <v>2019</v>
      </c>
      <c r="Q100" s="82">
        <v>2020</v>
      </c>
      <c r="R100" s="82">
        <v>2021</v>
      </c>
      <c r="S100" s="116">
        <v>2022</v>
      </c>
      <c r="T100" s="116">
        <v>2023</v>
      </c>
      <c r="U100" s="116">
        <v>2024</v>
      </c>
      <c r="V100" s="116">
        <v>2025</v>
      </c>
      <c r="W100" s="116">
        <v>2026</v>
      </c>
      <c r="X100" s="116">
        <v>2027</v>
      </c>
      <c r="Y100" s="116">
        <v>2028</v>
      </c>
      <c r="Z100" s="455" t="s">
        <v>77</v>
      </c>
    </row>
    <row r="101" spans="1:25" ht="15">
      <c r="A101" s="395" t="s">
        <v>254</v>
      </c>
      <c r="B101" s="273"/>
      <c r="C101" s="320"/>
      <c r="D101" s="396">
        <f>EAP!D33</f>
        <v>0.35117699642431466</v>
      </c>
      <c r="E101" s="396">
        <f>EAP!E33</f>
        <v>0.3528924286426707</v>
      </c>
      <c r="F101" s="396">
        <f>EAP!F33</f>
        <v>0.34347993497048</v>
      </c>
      <c r="G101" s="396">
        <f>EAP!G33</f>
        <v>0.331788538920494</v>
      </c>
      <c r="H101" s="396">
        <f>EAP!H33</f>
        <v>0.3298558829855883</v>
      </c>
      <c r="I101" s="396">
        <f>EAP!I33</f>
        <v>0.32159574468085106</v>
      </c>
      <c r="J101" s="396">
        <f>EAP!J33</f>
        <v>0.31050947059132167</v>
      </c>
      <c r="K101" s="470">
        <v>0.3053219839072728</v>
      </c>
      <c r="L101" s="397">
        <f aca="true" t="shared" si="25" ref="L101:Y101">-0.0071*L99+0.363</f>
        <v>0.2991</v>
      </c>
      <c r="M101" s="397">
        <f t="shared" si="25"/>
        <v>0.292</v>
      </c>
      <c r="N101" s="397">
        <f t="shared" si="25"/>
        <v>0.2849</v>
      </c>
      <c r="O101" s="397">
        <f t="shared" si="25"/>
        <v>0.2778</v>
      </c>
      <c r="P101" s="397">
        <f t="shared" si="25"/>
        <v>0.2707</v>
      </c>
      <c r="Q101" s="397">
        <f t="shared" si="25"/>
        <v>0.2636</v>
      </c>
      <c r="R101" s="397">
        <f t="shared" si="25"/>
        <v>0.25649999999999995</v>
      </c>
      <c r="S101" s="397">
        <f t="shared" si="25"/>
        <v>0.24939999999999998</v>
      </c>
      <c r="T101" s="397">
        <f t="shared" si="25"/>
        <v>0.2423</v>
      </c>
      <c r="U101" s="397">
        <f t="shared" si="25"/>
        <v>0.2352</v>
      </c>
      <c r="V101" s="397">
        <f t="shared" si="25"/>
        <v>0.22809999999999997</v>
      </c>
      <c r="W101" s="397">
        <f t="shared" si="25"/>
        <v>0.22099999999999997</v>
      </c>
      <c r="X101" s="397">
        <f t="shared" si="25"/>
        <v>0.21389999999999998</v>
      </c>
      <c r="Y101" s="272">
        <f t="shared" si="25"/>
        <v>0.20679999999999998</v>
      </c>
    </row>
    <row r="102" spans="11:17" ht="15">
      <c r="K102" s="390"/>
      <c r="L102" s="390"/>
      <c r="M102" s="390"/>
      <c r="N102" s="390"/>
      <c r="O102" s="390"/>
      <c r="P102" s="390"/>
      <c r="Q102" s="390"/>
    </row>
    <row r="118" ht="14.25"/>
    <row r="120" spans="4:25" ht="12" customHeight="1">
      <c r="D120" s="254">
        <v>1</v>
      </c>
      <c r="E120" s="254">
        <v>2</v>
      </c>
      <c r="F120" s="254">
        <v>3</v>
      </c>
      <c r="G120" s="254">
        <v>4</v>
      </c>
      <c r="H120" s="254">
        <v>5</v>
      </c>
      <c r="I120" s="254">
        <v>6</v>
      </c>
      <c r="J120" s="254">
        <v>7</v>
      </c>
      <c r="K120" s="254">
        <v>8</v>
      </c>
      <c r="L120" s="254">
        <v>9</v>
      </c>
      <c r="M120" s="254">
        <v>10</v>
      </c>
      <c r="N120" s="254">
        <v>11</v>
      </c>
      <c r="O120" s="254">
        <v>12</v>
      </c>
      <c r="P120" s="254">
        <v>13</v>
      </c>
      <c r="Q120" s="254">
        <v>14</v>
      </c>
      <c r="R120" s="254">
        <v>15</v>
      </c>
      <c r="S120" s="254">
        <v>16</v>
      </c>
      <c r="T120" s="254">
        <v>17</v>
      </c>
      <c r="U120" s="254">
        <v>18</v>
      </c>
      <c r="V120" s="254">
        <v>19</v>
      </c>
      <c r="W120" s="254">
        <v>20</v>
      </c>
      <c r="X120" s="254">
        <v>21</v>
      </c>
      <c r="Y120" s="254">
        <v>22</v>
      </c>
    </row>
    <row r="121" spans="1:26" ht="15">
      <c r="A121" s="261" t="s">
        <v>76</v>
      </c>
      <c r="B121" s="82">
        <v>2005</v>
      </c>
      <c r="C121" s="82">
        <v>2006</v>
      </c>
      <c r="D121" s="82">
        <v>2007</v>
      </c>
      <c r="E121" s="82">
        <v>2008</v>
      </c>
      <c r="F121" s="82">
        <v>2009</v>
      </c>
      <c r="G121" s="82">
        <v>2010</v>
      </c>
      <c r="H121" s="82">
        <v>2011</v>
      </c>
      <c r="I121" s="82">
        <v>2012</v>
      </c>
      <c r="J121" s="82">
        <v>2013</v>
      </c>
      <c r="K121" s="82">
        <v>2014</v>
      </c>
      <c r="L121" s="82">
        <v>2015</v>
      </c>
      <c r="M121" s="82">
        <v>2016</v>
      </c>
      <c r="N121" s="82">
        <v>2017</v>
      </c>
      <c r="O121" s="82">
        <v>2018</v>
      </c>
      <c r="P121" s="82">
        <v>2019</v>
      </c>
      <c r="Q121" s="82">
        <v>2020</v>
      </c>
      <c r="R121" s="82">
        <v>2021</v>
      </c>
      <c r="S121" s="82">
        <v>2022</v>
      </c>
      <c r="T121" s="116">
        <v>2023</v>
      </c>
      <c r="U121" s="116">
        <v>2024</v>
      </c>
      <c r="V121" s="116">
        <v>2025</v>
      </c>
      <c r="W121" s="116">
        <v>2026</v>
      </c>
      <c r="X121" s="116">
        <v>2027</v>
      </c>
      <c r="Y121" s="116">
        <v>2028</v>
      </c>
      <c r="Z121" s="455" t="s">
        <v>77</v>
      </c>
    </row>
    <row r="122" spans="1:26" ht="15">
      <c r="A122" s="663" t="s">
        <v>593</v>
      </c>
      <c r="B122" s="84"/>
      <c r="C122" s="85"/>
      <c r="D122" s="394">
        <f>POP!D97</f>
        <v>0.02393727651966627</v>
      </c>
      <c r="E122" s="394">
        <f>POP!E97</f>
        <v>0.02435844407286808</v>
      </c>
      <c r="F122" s="394">
        <f>POP!F97</f>
        <v>0.024254613388095033</v>
      </c>
      <c r="G122" s="394">
        <f>POP!G97</f>
        <v>0.024413986402109063</v>
      </c>
      <c r="H122" s="394">
        <f>POP!H97</f>
        <v>0.02390298989029899</v>
      </c>
      <c r="I122" s="394">
        <f>POP!I97</f>
        <v>0.016013297872340425</v>
      </c>
      <c r="J122" s="468">
        <f>POP!J97</f>
        <v>0.02392292355317698</v>
      </c>
      <c r="K122" s="759">
        <f>-0.00004*K120+0.0243</f>
        <v>0.023979999999999998</v>
      </c>
      <c r="L122" s="759">
        <f aca="true" t="shared" si="26" ref="L122:Y122">-0.00004*L120+0.0243</f>
        <v>0.02394</v>
      </c>
      <c r="M122" s="759">
        <f t="shared" si="26"/>
        <v>0.023899999999999998</v>
      </c>
      <c r="N122" s="759">
        <f t="shared" si="26"/>
        <v>0.02386</v>
      </c>
      <c r="O122" s="759">
        <f t="shared" si="26"/>
        <v>0.023819999999999997</v>
      </c>
      <c r="P122" s="759">
        <f t="shared" si="26"/>
        <v>0.02378</v>
      </c>
      <c r="Q122" s="759">
        <f t="shared" si="26"/>
        <v>0.023739999999999997</v>
      </c>
      <c r="R122" s="759">
        <f t="shared" si="26"/>
        <v>0.0237</v>
      </c>
      <c r="S122" s="759">
        <f t="shared" si="26"/>
        <v>0.023659999999999997</v>
      </c>
      <c r="T122" s="759">
        <f t="shared" si="26"/>
        <v>0.02362</v>
      </c>
      <c r="U122" s="759">
        <f>-0.00004*U120+0.0243</f>
        <v>0.02358</v>
      </c>
      <c r="V122" s="759">
        <f t="shared" si="26"/>
        <v>0.02354</v>
      </c>
      <c r="W122" s="759">
        <f t="shared" si="26"/>
        <v>0.0235</v>
      </c>
      <c r="X122" s="759">
        <f>-0.00004*X120+0.0243</f>
        <v>0.023459999999999998</v>
      </c>
      <c r="Y122" s="760">
        <f t="shared" si="26"/>
        <v>0.02342</v>
      </c>
      <c r="Z122" s="713" t="s">
        <v>384</v>
      </c>
    </row>
    <row r="123" spans="1:26" ht="15">
      <c r="A123" s="944" t="s">
        <v>594</v>
      </c>
      <c r="B123" s="94"/>
      <c r="C123" s="95"/>
      <c r="D123" s="705">
        <f>POP!D99</f>
        <v>0.306198098149855</v>
      </c>
      <c r="E123" s="705">
        <f>POP!E99</f>
        <v>0.30742854611499953</v>
      </c>
      <c r="F123" s="705">
        <f>POP!F99</f>
        <v>0.307914842539447</v>
      </c>
      <c r="G123" s="705">
        <f>POP!G99</f>
        <v>0.30918016981943247</v>
      </c>
      <c r="H123" s="705">
        <f>POP!H99</f>
        <v>0.3097226484375827</v>
      </c>
      <c r="I123" s="705">
        <f>POP!I99</f>
        <v>0.30678719836698987</v>
      </c>
      <c r="J123" s="761">
        <f>POP!J99</f>
        <v>0.3148577460746936</v>
      </c>
      <c r="K123" s="762">
        <f>0.009*LN(K120)+0.3051</f>
        <v>0.3238149738751185</v>
      </c>
      <c r="L123" s="762">
        <f aca="true" t="shared" si="27" ref="L123:Y123">0.009*LN(L120)+0.3051</f>
        <v>0.32487502119602596</v>
      </c>
      <c r="M123" s="762">
        <f t="shared" si="27"/>
        <v>0.3258232658369464</v>
      </c>
      <c r="N123" s="762">
        <f t="shared" si="27"/>
        <v>0.32668105745518533</v>
      </c>
      <c r="O123" s="762">
        <f t="shared" si="27"/>
        <v>0.32746415984809196</v>
      </c>
      <c r="P123" s="762">
        <f t="shared" si="27"/>
        <v>0.3281845442171538</v>
      </c>
      <c r="Q123" s="762">
        <f>0.009*LN(Q120)+0.3051</f>
        <v>0.3288515159665373</v>
      </c>
      <c r="R123" s="762">
        <f t="shared" si="27"/>
        <v>0.32947245180991985</v>
      </c>
      <c r="S123" s="762">
        <f t="shared" si="27"/>
        <v>0.330053298500158</v>
      </c>
      <c r="T123" s="762">
        <f t="shared" si="27"/>
        <v>0.33059892009650593</v>
      </c>
      <c r="U123" s="762">
        <f>0.009*LN(U120)+0.3051</f>
        <v>0.33111334582106544</v>
      </c>
      <c r="V123" s="762">
        <f t="shared" si="27"/>
        <v>0.33159995081249793</v>
      </c>
      <c r="W123" s="762">
        <f t="shared" si="27"/>
        <v>0.3320615904619859</v>
      </c>
      <c r="X123" s="762">
        <f>0.009*LN(X120)+0.3051</f>
        <v>0.3325007019395108</v>
      </c>
      <c r="Y123" s="805">
        <f t="shared" si="27"/>
        <v>0.3329193820802248</v>
      </c>
      <c r="Z123" s="254" t="s">
        <v>457</v>
      </c>
    </row>
    <row r="124" spans="10:19" ht="15">
      <c r="J124" s="254">
        <v>1</v>
      </c>
      <c r="K124" s="254">
        <v>2</v>
      </c>
      <c r="L124" s="254">
        <v>3</v>
      </c>
      <c r="M124" s="254">
        <v>4</v>
      </c>
      <c r="N124" s="254">
        <v>5</v>
      </c>
      <c r="O124" s="254">
        <v>6</v>
      </c>
      <c r="P124" s="254">
        <v>7</v>
      </c>
      <c r="Q124" s="254">
        <v>8</v>
      </c>
      <c r="R124" s="254">
        <v>9</v>
      </c>
      <c r="S124" s="254">
        <v>10</v>
      </c>
    </row>
    <row r="126" spans="5:25" ht="15">
      <c r="E126" s="254">
        <v>1</v>
      </c>
      <c r="F126" s="254">
        <v>2</v>
      </c>
      <c r="G126" s="254">
        <v>3</v>
      </c>
      <c r="H126" s="254">
        <v>4</v>
      </c>
      <c r="I126" s="254">
        <v>5</v>
      </c>
      <c r="J126" s="254">
        <v>6</v>
      </c>
      <c r="K126" s="254">
        <v>7</v>
      </c>
      <c r="L126" s="254">
        <v>8</v>
      </c>
      <c r="M126" s="254">
        <v>9</v>
      </c>
      <c r="N126" s="254">
        <v>10</v>
      </c>
      <c r="O126" s="254">
        <v>11</v>
      </c>
      <c r="P126" s="254">
        <v>12</v>
      </c>
      <c r="Q126" s="254">
        <v>13</v>
      </c>
      <c r="R126" s="254">
        <v>14</v>
      </c>
      <c r="S126" s="254">
        <v>15</v>
      </c>
      <c r="T126" s="254">
        <v>16</v>
      </c>
      <c r="U126" s="254">
        <v>17</v>
      </c>
      <c r="V126" s="254">
        <v>18</v>
      </c>
      <c r="W126" s="254">
        <v>19</v>
      </c>
      <c r="X126" s="254">
        <v>20</v>
      </c>
      <c r="Y126" s="254">
        <v>21</v>
      </c>
    </row>
    <row r="127" spans="1:26" ht="15">
      <c r="A127" s="259" t="s">
        <v>76</v>
      </c>
      <c r="B127" s="116">
        <v>2005</v>
      </c>
      <c r="C127" s="116">
        <v>2006</v>
      </c>
      <c r="D127" s="116">
        <v>2007</v>
      </c>
      <c r="E127" s="116">
        <v>2008</v>
      </c>
      <c r="F127" s="116">
        <v>2009</v>
      </c>
      <c r="G127" s="116">
        <v>2010</v>
      </c>
      <c r="H127" s="116">
        <v>2011</v>
      </c>
      <c r="I127" s="116">
        <v>2012</v>
      </c>
      <c r="J127" s="116">
        <v>2013</v>
      </c>
      <c r="K127" s="116">
        <v>2014</v>
      </c>
      <c r="L127" s="116">
        <v>2015</v>
      </c>
      <c r="M127" s="116">
        <v>2016</v>
      </c>
      <c r="N127" s="116">
        <v>2017</v>
      </c>
      <c r="O127" s="116">
        <v>2018</v>
      </c>
      <c r="P127" s="116">
        <v>2019</v>
      </c>
      <c r="Q127" s="116">
        <v>2020</v>
      </c>
      <c r="R127" s="116">
        <v>2021</v>
      </c>
      <c r="S127" s="116">
        <v>2022</v>
      </c>
      <c r="T127" s="116">
        <v>2023</v>
      </c>
      <c r="U127" s="116">
        <v>2024</v>
      </c>
      <c r="V127" s="116">
        <v>2025</v>
      </c>
      <c r="W127" s="116">
        <v>2026</v>
      </c>
      <c r="X127" s="116">
        <v>2027</v>
      </c>
      <c r="Y127" s="116">
        <v>2028</v>
      </c>
      <c r="Z127" s="455" t="s">
        <v>77</v>
      </c>
    </row>
    <row r="128" spans="1:25" ht="15">
      <c r="A128" s="663" t="s">
        <v>335</v>
      </c>
      <c r="B128" s="85"/>
      <c r="C128" s="85"/>
      <c r="D128" s="85"/>
      <c r="E128" s="678">
        <f>SUM(E129:E132)</f>
        <v>1</v>
      </c>
      <c r="F128" s="678">
        <f aca="true" t="shared" si="28" ref="F128:R128">SUM(F129:F132)</f>
        <v>1</v>
      </c>
      <c r="G128" s="678">
        <f t="shared" si="28"/>
        <v>1</v>
      </c>
      <c r="H128" s="678">
        <f t="shared" si="28"/>
        <v>1</v>
      </c>
      <c r="I128" s="678">
        <f t="shared" si="28"/>
        <v>1</v>
      </c>
      <c r="J128" s="678">
        <f t="shared" si="28"/>
        <v>1</v>
      </c>
      <c r="K128" s="953">
        <f t="shared" si="28"/>
        <v>1</v>
      </c>
      <c r="L128" s="954">
        <f t="shared" si="28"/>
        <v>1</v>
      </c>
      <c r="M128" s="954">
        <f t="shared" si="28"/>
        <v>1</v>
      </c>
      <c r="N128" s="954">
        <f t="shared" si="28"/>
        <v>1</v>
      </c>
      <c r="O128" s="954">
        <f t="shared" si="28"/>
        <v>1</v>
      </c>
      <c r="P128" s="954">
        <f t="shared" si="28"/>
        <v>1</v>
      </c>
      <c r="Q128" s="954">
        <f t="shared" si="28"/>
        <v>1</v>
      </c>
      <c r="R128" s="954">
        <f t="shared" si="28"/>
        <v>0.9999999999999999</v>
      </c>
      <c r="S128" s="954">
        <f>SUM(S129:S132)</f>
        <v>1</v>
      </c>
      <c r="T128" s="954">
        <f aca="true" t="shared" si="29" ref="T128:Y128">SUM(T129:T132)</f>
        <v>1</v>
      </c>
      <c r="U128" s="954">
        <f t="shared" si="29"/>
        <v>1</v>
      </c>
      <c r="V128" s="954">
        <f t="shared" si="29"/>
        <v>1</v>
      </c>
      <c r="W128" s="954">
        <f t="shared" si="29"/>
        <v>1</v>
      </c>
      <c r="X128" s="954">
        <f t="shared" si="29"/>
        <v>1</v>
      </c>
      <c r="Y128" s="955">
        <f t="shared" si="29"/>
        <v>0.9999999999999999</v>
      </c>
    </row>
    <row r="129" spans="1:26" ht="15">
      <c r="A129" s="623" t="s">
        <v>336</v>
      </c>
      <c r="B129" s="90"/>
      <c r="C129" s="90"/>
      <c r="D129" s="90"/>
      <c r="E129" s="771">
        <v>0.05564609470868544</v>
      </c>
      <c r="F129" s="771">
        <v>0.05867388929624254</v>
      </c>
      <c r="G129" s="771">
        <v>0.051239214966298</v>
      </c>
      <c r="H129" s="669">
        <f>-0.0022*H126+0.0596</f>
        <v>0.0508</v>
      </c>
      <c r="I129" s="669">
        <f aca="true" t="shared" si="30" ref="I129:R129">-0.0022*I126+0.0596</f>
        <v>0.0486</v>
      </c>
      <c r="J129" s="669">
        <f t="shared" si="30"/>
        <v>0.0464</v>
      </c>
      <c r="K129" s="670">
        <f t="shared" si="30"/>
        <v>0.0442</v>
      </c>
      <c r="L129" s="673">
        <f t="shared" si="30"/>
        <v>0.041999999999999996</v>
      </c>
      <c r="M129" s="673">
        <f t="shared" si="30"/>
        <v>0.0398</v>
      </c>
      <c r="N129" s="673">
        <f t="shared" si="30"/>
        <v>0.037599999999999995</v>
      </c>
      <c r="O129" s="673">
        <f t="shared" si="30"/>
        <v>0.0354</v>
      </c>
      <c r="P129" s="673">
        <f t="shared" si="30"/>
        <v>0.0332</v>
      </c>
      <c r="Q129" s="673">
        <f t="shared" si="30"/>
        <v>0.031</v>
      </c>
      <c r="R129" s="673">
        <f t="shared" si="30"/>
        <v>0.0288</v>
      </c>
      <c r="S129" s="673">
        <f>-0.0022*S126+0.0596</f>
        <v>0.0266</v>
      </c>
      <c r="T129" s="673">
        <f aca="true" t="shared" si="31" ref="T129:Y129">-0.0022*T126+0.0596</f>
        <v>0.024399999999999998</v>
      </c>
      <c r="U129" s="673">
        <f t="shared" si="31"/>
        <v>0.022199999999999998</v>
      </c>
      <c r="V129" s="673">
        <f t="shared" si="31"/>
        <v>0.019999999999999997</v>
      </c>
      <c r="W129" s="673">
        <f t="shared" si="31"/>
        <v>0.017799999999999996</v>
      </c>
      <c r="X129" s="673">
        <f t="shared" si="31"/>
        <v>0.015599999999999996</v>
      </c>
      <c r="Y129" s="951">
        <f t="shared" si="31"/>
        <v>0.013399999999999995</v>
      </c>
      <c r="Z129" s="744" t="s">
        <v>405</v>
      </c>
    </row>
    <row r="130" spans="1:25" ht="15">
      <c r="A130" s="623" t="s">
        <v>337</v>
      </c>
      <c r="B130" s="90"/>
      <c r="C130" s="90"/>
      <c r="D130" s="90"/>
      <c r="E130" s="771">
        <v>0.34463029702433723</v>
      </c>
      <c r="F130" s="771">
        <v>0.35275448261217485</v>
      </c>
      <c r="G130" s="771">
        <v>0.34766109259822053</v>
      </c>
      <c r="H130" s="669">
        <f>0.0015*H126+0.3453</f>
        <v>0.3513</v>
      </c>
      <c r="I130" s="669">
        <f aca="true" t="shared" si="32" ref="I130:Y130">0.0015*I126+0.3453</f>
        <v>0.3528</v>
      </c>
      <c r="J130" s="669">
        <f t="shared" si="32"/>
        <v>0.3543</v>
      </c>
      <c r="K130" s="670">
        <f t="shared" si="32"/>
        <v>0.3558</v>
      </c>
      <c r="L130" s="673">
        <f t="shared" si="32"/>
        <v>0.3573</v>
      </c>
      <c r="M130" s="673">
        <f t="shared" si="32"/>
        <v>0.3588</v>
      </c>
      <c r="N130" s="673">
        <f t="shared" si="32"/>
        <v>0.3603</v>
      </c>
      <c r="O130" s="673">
        <f t="shared" si="32"/>
        <v>0.3618</v>
      </c>
      <c r="P130" s="673">
        <f t="shared" si="32"/>
        <v>0.3633</v>
      </c>
      <c r="Q130" s="673">
        <f>0.0015*Q126+0.3453</f>
        <v>0.3648</v>
      </c>
      <c r="R130" s="673">
        <f t="shared" si="32"/>
        <v>0.3663</v>
      </c>
      <c r="S130" s="673">
        <f t="shared" si="32"/>
        <v>0.3678</v>
      </c>
      <c r="T130" s="673">
        <f t="shared" si="32"/>
        <v>0.3693</v>
      </c>
      <c r="U130" s="673">
        <f t="shared" si="32"/>
        <v>0.3708</v>
      </c>
      <c r="V130" s="673">
        <f t="shared" si="32"/>
        <v>0.3723</v>
      </c>
      <c r="W130" s="673">
        <f t="shared" si="32"/>
        <v>0.3738</v>
      </c>
      <c r="X130" s="673">
        <f t="shared" si="32"/>
        <v>0.37529999999999997</v>
      </c>
      <c r="Y130" s="951">
        <f t="shared" si="32"/>
        <v>0.3768</v>
      </c>
    </row>
    <row r="131" spans="1:25" ht="15">
      <c r="A131" s="623" t="s">
        <v>338</v>
      </c>
      <c r="B131" s="664"/>
      <c r="C131" s="664"/>
      <c r="D131" s="664"/>
      <c r="E131" s="771">
        <v>0.32977069292775235</v>
      </c>
      <c r="F131" s="771">
        <v>0.3265068937776077</v>
      </c>
      <c r="G131" s="771">
        <v>0.340311985034415</v>
      </c>
      <c r="H131" s="669">
        <f>0.0053*H126+0.3217</f>
        <v>0.3429</v>
      </c>
      <c r="I131" s="669">
        <f aca="true" t="shared" si="33" ref="I131:Y131">0.0053*I126+0.3217</f>
        <v>0.3482</v>
      </c>
      <c r="J131" s="669">
        <f t="shared" si="33"/>
        <v>0.3535</v>
      </c>
      <c r="K131" s="670">
        <f t="shared" si="33"/>
        <v>0.3588</v>
      </c>
      <c r="L131" s="673">
        <f t="shared" si="33"/>
        <v>0.3641</v>
      </c>
      <c r="M131" s="673">
        <f t="shared" si="33"/>
        <v>0.3694</v>
      </c>
      <c r="N131" s="673">
        <f t="shared" si="33"/>
        <v>0.3747</v>
      </c>
      <c r="O131" s="673">
        <f t="shared" si="33"/>
        <v>0.38</v>
      </c>
      <c r="P131" s="673">
        <f t="shared" si="33"/>
        <v>0.3853</v>
      </c>
      <c r="Q131" s="673">
        <f t="shared" si="33"/>
        <v>0.3906</v>
      </c>
      <c r="R131" s="673">
        <f t="shared" si="33"/>
        <v>0.3959</v>
      </c>
      <c r="S131" s="673">
        <f t="shared" si="33"/>
        <v>0.4012</v>
      </c>
      <c r="T131" s="673">
        <f t="shared" si="33"/>
        <v>0.4065</v>
      </c>
      <c r="U131" s="673">
        <f t="shared" si="33"/>
        <v>0.4118</v>
      </c>
      <c r="V131" s="673">
        <f t="shared" si="33"/>
        <v>0.41709999999999997</v>
      </c>
      <c r="W131" s="673">
        <f t="shared" si="33"/>
        <v>0.4224</v>
      </c>
      <c r="X131" s="673">
        <f t="shared" si="33"/>
        <v>0.42769999999999997</v>
      </c>
      <c r="Y131" s="951">
        <f t="shared" si="33"/>
        <v>0.433</v>
      </c>
    </row>
    <row r="132" spans="1:25" ht="15">
      <c r="A132" s="624" t="s">
        <v>339</v>
      </c>
      <c r="B132" s="665"/>
      <c r="C132" s="666"/>
      <c r="D132" s="666"/>
      <c r="E132" s="772">
        <v>0.26995291533922505</v>
      </c>
      <c r="F132" s="772">
        <v>0.2620647343139749</v>
      </c>
      <c r="G132" s="772">
        <v>0.2607877074010665</v>
      </c>
      <c r="H132" s="671">
        <f>-0.0046*H126+0.2734</f>
        <v>0.255</v>
      </c>
      <c r="I132" s="671">
        <f aca="true" t="shared" si="34" ref="I132:Y132">-0.0046*I126+0.2734</f>
        <v>0.25039999999999996</v>
      </c>
      <c r="J132" s="671">
        <f t="shared" si="34"/>
        <v>0.24579999999999996</v>
      </c>
      <c r="K132" s="672">
        <f t="shared" si="34"/>
        <v>0.24119999999999997</v>
      </c>
      <c r="L132" s="674">
        <f t="shared" si="34"/>
        <v>0.23659999999999998</v>
      </c>
      <c r="M132" s="675">
        <f t="shared" si="34"/>
        <v>0.23199999999999998</v>
      </c>
      <c r="N132" s="675">
        <f t="shared" si="34"/>
        <v>0.2274</v>
      </c>
      <c r="O132" s="675">
        <f t="shared" si="34"/>
        <v>0.22279999999999997</v>
      </c>
      <c r="P132" s="675">
        <f t="shared" si="34"/>
        <v>0.21819999999999998</v>
      </c>
      <c r="Q132" s="675">
        <f t="shared" si="34"/>
        <v>0.21359999999999998</v>
      </c>
      <c r="R132" s="675">
        <f t="shared" si="34"/>
        <v>0.20899999999999996</v>
      </c>
      <c r="S132" s="675">
        <f t="shared" si="34"/>
        <v>0.20439999999999997</v>
      </c>
      <c r="T132" s="675">
        <f t="shared" si="34"/>
        <v>0.19979999999999998</v>
      </c>
      <c r="U132" s="675">
        <f t="shared" si="34"/>
        <v>0.19519999999999998</v>
      </c>
      <c r="V132" s="675">
        <f t="shared" si="34"/>
        <v>0.1906</v>
      </c>
      <c r="W132" s="675">
        <f t="shared" si="34"/>
        <v>0.18599999999999997</v>
      </c>
      <c r="X132" s="675">
        <f t="shared" si="34"/>
        <v>0.18139999999999998</v>
      </c>
      <c r="Y132" s="952">
        <f t="shared" si="34"/>
        <v>0.17679999999999998</v>
      </c>
    </row>
    <row r="134" ht="15">
      <c r="C134" s="662"/>
    </row>
    <row r="149" ht="14.25"/>
    <row r="150" spans="12:25" ht="15">
      <c r="L150" s="390"/>
      <c r="M150" s="390"/>
      <c r="N150" s="390"/>
      <c r="O150" s="390"/>
      <c r="P150" s="390"/>
      <c r="Q150" s="390"/>
      <c r="R150" s="390"/>
      <c r="S150" s="390"/>
      <c r="T150" s="390"/>
      <c r="U150" s="390"/>
      <c r="V150" s="390"/>
      <c r="W150" s="390"/>
      <c r="X150" s="390"/>
      <c r="Y150" s="390"/>
    </row>
    <row r="151" spans="12:19" ht="15">
      <c r="L151" s="254">
        <v>1</v>
      </c>
      <c r="M151" s="254">
        <v>2</v>
      </c>
      <c r="N151" s="254">
        <v>3</v>
      </c>
      <c r="O151" s="254">
        <v>4</v>
      </c>
      <c r="P151" s="254">
        <v>5</v>
      </c>
      <c r="Q151" s="254">
        <v>6</v>
      </c>
      <c r="R151" s="254">
        <v>7</v>
      </c>
      <c r="S151" s="254">
        <v>8</v>
      </c>
    </row>
    <row r="152" spans="1:26" ht="15" customHeight="1">
      <c r="A152" s="259" t="s">
        <v>76</v>
      </c>
      <c r="B152" s="116">
        <v>2005</v>
      </c>
      <c r="C152" s="116">
        <v>2006</v>
      </c>
      <c r="D152" s="116">
        <v>2007</v>
      </c>
      <c r="E152" s="116">
        <v>2008</v>
      </c>
      <c r="F152" s="116">
        <v>2009</v>
      </c>
      <c r="G152" s="116">
        <v>2010</v>
      </c>
      <c r="H152" s="116">
        <v>2011</v>
      </c>
      <c r="I152" s="116">
        <v>2012</v>
      </c>
      <c r="J152" s="116">
        <v>2013</v>
      </c>
      <c r="K152" s="116">
        <v>2014</v>
      </c>
      <c r="L152" s="116">
        <v>2015</v>
      </c>
      <c r="M152" s="116">
        <v>2016</v>
      </c>
      <c r="N152" s="116">
        <v>2017</v>
      </c>
      <c r="O152" s="116">
        <v>2018</v>
      </c>
      <c r="P152" s="116">
        <v>2019</v>
      </c>
      <c r="Q152" s="116">
        <v>2020</v>
      </c>
      <c r="R152" s="116">
        <v>2021</v>
      </c>
      <c r="S152" s="116">
        <v>2022</v>
      </c>
      <c r="T152" s="116">
        <v>2023</v>
      </c>
      <c r="U152" s="116">
        <v>2024</v>
      </c>
      <c r="V152" s="116">
        <v>2025</v>
      </c>
      <c r="W152" s="116">
        <v>2026</v>
      </c>
      <c r="X152" s="116">
        <v>2027</v>
      </c>
      <c r="Y152" s="116">
        <v>2028</v>
      </c>
      <c r="Z152" s="455" t="s">
        <v>77</v>
      </c>
    </row>
    <row r="153" spans="1:26" s="35" customFormat="1" ht="15">
      <c r="A153" s="255" t="s">
        <v>316</v>
      </c>
      <c r="B153" s="765"/>
      <c r="C153" s="765"/>
      <c r="D153" s="765"/>
      <c r="E153" s="320"/>
      <c r="F153" s="320"/>
      <c r="G153" s="320"/>
      <c r="H153" s="320"/>
      <c r="I153" s="320"/>
      <c r="J153" s="320"/>
      <c r="K153" s="491"/>
      <c r="L153" s="766">
        <v>4353.597</v>
      </c>
      <c r="M153" s="766">
        <f aca="true" t="shared" si="35" ref="M153:R153">337.5*M151+4016.1</f>
        <v>4691.1</v>
      </c>
      <c r="N153" s="766">
        <f t="shared" si="35"/>
        <v>5028.6</v>
      </c>
      <c r="O153" s="766">
        <f t="shared" si="35"/>
        <v>5366.1</v>
      </c>
      <c r="P153" s="766">
        <f t="shared" si="35"/>
        <v>5703.6</v>
      </c>
      <c r="Q153" s="766">
        <f t="shared" si="35"/>
        <v>6041.1</v>
      </c>
      <c r="R153" s="766">
        <f t="shared" si="35"/>
        <v>6378.6</v>
      </c>
      <c r="S153" s="766">
        <f>POP!S74*ECO!S56</f>
        <v>6534.624931901088</v>
      </c>
      <c r="T153" s="766">
        <f>POP!T74*ECO!T56</f>
        <v>6566.489725053358</v>
      </c>
      <c r="U153" s="766">
        <f>POP!U74*ECO!U56</f>
        <v>6595.990603300354</v>
      </c>
      <c r="V153" s="766">
        <f>POP!V74*ECO!V56</f>
        <v>6623.433011635569</v>
      </c>
      <c r="W153" s="766">
        <f>POP!W74*ECO!W56</f>
        <v>6648.433944971596</v>
      </c>
      <c r="X153" s="766">
        <f>POP!X74*ECO!X56</f>
        <v>6671.016858982</v>
      </c>
      <c r="Y153" s="767">
        <f>POP!Y74*ECO!Y56</f>
        <v>6691.31612861443</v>
      </c>
      <c r="Z153" s="947" t="s">
        <v>458</v>
      </c>
    </row>
    <row r="155" spans="1:26" ht="12.75" customHeight="1">
      <c r="A155" s="259" t="s">
        <v>76</v>
      </c>
      <c r="B155" s="116">
        <v>2005</v>
      </c>
      <c r="C155" s="116">
        <v>2006</v>
      </c>
      <c r="D155" s="116">
        <v>2007</v>
      </c>
      <c r="E155" s="116">
        <v>2008</v>
      </c>
      <c r="F155" s="116">
        <v>2009</v>
      </c>
      <c r="G155" s="116">
        <v>2010</v>
      </c>
      <c r="H155" s="116">
        <v>2011</v>
      </c>
      <c r="I155" s="116">
        <v>2012</v>
      </c>
      <c r="J155" s="116">
        <v>2013</v>
      </c>
      <c r="K155" s="82">
        <v>2014</v>
      </c>
      <c r="L155" s="82">
        <v>2015</v>
      </c>
      <c r="M155" s="82">
        <v>2016</v>
      </c>
      <c r="N155" s="82">
        <v>2017</v>
      </c>
      <c r="O155" s="82">
        <v>2018</v>
      </c>
      <c r="P155" s="82">
        <v>2019</v>
      </c>
      <c r="Q155" s="82">
        <v>2020</v>
      </c>
      <c r="R155" s="82">
        <v>2021</v>
      </c>
      <c r="S155" s="82">
        <v>2022</v>
      </c>
      <c r="T155" s="82">
        <v>2023</v>
      </c>
      <c r="U155" s="82">
        <v>2024</v>
      </c>
      <c r="V155" s="82">
        <v>2025</v>
      </c>
      <c r="W155" s="82">
        <v>2026</v>
      </c>
      <c r="X155" s="82">
        <v>2027</v>
      </c>
      <c r="Y155" s="82">
        <v>2028</v>
      </c>
      <c r="Z155" s="455" t="s">
        <v>77</v>
      </c>
    </row>
    <row r="156" spans="1:26" ht="15">
      <c r="A156" s="395" t="s">
        <v>435</v>
      </c>
      <c r="B156" s="396">
        <f>'GGO (SQ)'!B29</f>
        <v>0.12427722249130377</v>
      </c>
      <c r="C156" s="396">
        <f>'GGO (SQ)'!C29</f>
        <v>0.13711297612226897</v>
      </c>
      <c r="D156" s="396">
        <f>'GGO (SQ)'!D29</f>
        <v>0.13535104641548673</v>
      </c>
      <c r="E156" s="396">
        <f>'GGO (SQ)'!E29</f>
        <v>0.13588941604369334</v>
      </c>
      <c r="F156" s="396">
        <f>'GGO (SQ)'!F29</f>
        <v>0.12230420016189594</v>
      </c>
      <c r="G156" s="396">
        <f>'GGO (SQ)'!G29</f>
        <v>0.12146892090613852</v>
      </c>
      <c r="H156" s="396">
        <f>'GGO (SQ)'!H29</f>
        <v>0.12384430349543203</v>
      </c>
      <c r="I156" s="396">
        <f>'GGO (SQ)'!I29</f>
        <v>0.12883063764246958</v>
      </c>
      <c r="J156" s="396">
        <f>'GGO (SQ)'!J29</f>
        <v>0.13298169384278455</v>
      </c>
      <c r="K156" s="470">
        <f>'GGO (SQ)'!K29</f>
        <v>0.13606031343992403</v>
      </c>
      <c r="L156" s="836">
        <f>K156-($K$156-$Y$156)/14</f>
        <v>0.13777029105135802</v>
      </c>
      <c r="M156" s="836">
        <f aca="true" t="shared" si="36" ref="M156:X156">L156-($K$156-$Y$156)/14</f>
        <v>0.139480268662792</v>
      </c>
      <c r="N156" s="836">
        <f t="shared" si="36"/>
        <v>0.141190246274226</v>
      </c>
      <c r="O156" s="836">
        <f t="shared" si="36"/>
        <v>0.14290022388565998</v>
      </c>
      <c r="P156" s="836">
        <f t="shared" si="36"/>
        <v>0.14461020149709397</v>
      </c>
      <c r="Q156" s="836">
        <f t="shared" si="36"/>
        <v>0.14632017910852796</v>
      </c>
      <c r="R156" s="836">
        <f t="shared" si="36"/>
        <v>0.14803015671996195</v>
      </c>
      <c r="S156" s="836">
        <f t="shared" si="36"/>
        <v>0.14974013433139594</v>
      </c>
      <c r="T156" s="836">
        <f t="shared" si="36"/>
        <v>0.15145011194282992</v>
      </c>
      <c r="U156" s="836">
        <f t="shared" si="36"/>
        <v>0.1531600895542639</v>
      </c>
      <c r="V156" s="836">
        <f t="shared" si="36"/>
        <v>0.1548700671656979</v>
      </c>
      <c r="W156" s="836">
        <f t="shared" si="36"/>
        <v>0.1565800447771319</v>
      </c>
      <c r="X156" s="836">
        <f t="shared" si="36"/>
        <v>0.15829002238856588</v>
      </c>
      <c r="Y156" s="837">
        <v>0.16</v>
      </c>
      <c r="Z156" s="254" t="s">
        <v>596</v>
      </c>
    </row>
    <row r="157" ht="15">
      <c r="Z157" s="319"/>
    </row>
    <row r="158" spans="1:26" ht="15">
      <c r="A158" s="259" t="s">
        <v>76</v>
      </c>
      <c r="B158" s="116">
        <v>2005</v>
      </c>
      <c r="C158" s="116">
        <v>2006</v>
      </c>
      <c r="D158" s="116">
        <v>2007</v>
      </c>
      <c r="E158" s="116">
        <v>2008</v>
      </c>
      <c r="F158" s="116">
        <v>2009</v>
      </c>
      <c r="G158" s="116">
        <v>2010</v>
      </c>
      <c r="H158" s="116">
        <v>2011</v>
      </c>
      <c r="I158" s="116">
        <v>2012</v>
      </c>
      <c r="J158" s="116">
        <v>2013</v>
      </c>
      <c r="K158" s="116">
        <v>2014</v>
      </c>
      <c r="L158" s="116">
        <v>2015</v>
      </c>
      <c r="M158" s="116">
        <v>2016</v>
      </c>
      <c r="N158" s="116">
        <v>2017</v>
      </c>
      <c r="O158" s="116">
        <v>2018</v>
      </c>
      <c r="P158" s="116">
        <v>2019</v>
      </c>
      <c r="Q158" s="116">
        <v>2020</v>
      </c>
      <c r="R158" s="116">
        <v>2021</v>
      </c>
      <c r="S158" s="116">
        <v>2022</v>
      </c>
      <c r="T158" s="116">
        <v>2023</v>
      </c>
      <c r="U158" s="116">
        <v>2024</v>
      </c>
      <c r="V158" s="116">
        <v>2025</v>
      </c>
      <c r="W158" s="116">
        <v>2026</v>
      </c>
      <c r="X158" s="116">
        <v>2027</v>
      </c>
      <c r="Y158" s="116">
        <v>2028</v>
      </c>
      <c r="Z158" s="455" t="s">
        <v>77</v>
      </c>
    </row>
    <row r="159" spans="1:26" ht="15">
      <c r="A159" s="783" t="s">
        <v>462</v>
      </c>
      <c r="B159" s="85"/>
      <c r="C159" s="85"/>
      <c r="D159" s="85"/>
      <c r="E159" s="678"/>
      <c r="F159" s="678"/>
      <c r="G159" s="678"/>
      <c r="H159" s="679"/>
      <c r="I159" s="679"/>
      <c r="J159" s="679"/>
      <c r="K159" s="680"/>
      <c r="L159" s="676"/>
      <c r="M159" s="676"/>
      <c r="N159" s="676"/>
      <c r="O159" s="676"/>
      <c r="P159" s="676"/>
      <c r="Q159" s="676"/>
      <c r="R159" s="676"/>
      <c r="S159" s="676"/>
      <c r="T159" s="676"/>
      <c r="U159" s="676"/>
      <c r="V159" s="676"/>
      <c r="W159" s="676"/>
      <c r="X159" s="676"/>
      <c r="Y159" s="677"/>
      <c r="Z159" s="796" t="s">
        <v>448</v>
      </c>
    </row>
    <row r="160" spans="1:25" ht="15">
      <c r="A160" s="782">
        <v>0</v>
      </c>
      <c r="B160" s="90">
        <v>4148.9</v>
      </c>
      <c r="C160" s="90">
        <v>4233.3</v>
      </c>
      <c r="D160" s="90">
        <v>4365.2</v>
      </c>
      <c r="E160" s="90">
        <v>4406</v>
      </c>
      <c r="F160" s="90">
        <v>4446</v>
      </c>
      <c r="G160" s="90">
        <v>4485</v>
      </c>
      <c r="H160" s="90">
        <v>4522.7</v>
      </c>
      <c r="I160" s="90">
        <v>4560.8</v>
      </c>
      <c r="J160" s="90">
        <v>4476.9</v>
      </c>
      <c r="K160" s="102">
        <v>4393.2</v>
      </c>
      <c r="L160" s="711">
        <v>4309.6</v>
      </c>
      <c r="M160" s="711">
        <v>4168.9</v>
      </c>
      <c r="N160" s="711">
        <v>4169.9</v>
      </c>
      <c r="O160" s="711">
        <v>4169</v>
      </c>
      <c r="P160" s="711">
        <v>4166.2</v>
      </c>
      <c r="Q160" s="711">
        <v>4159.8</v>
      </c>
      <c r="R160" s="711"/>
      <c r="S160" s="711"/>
      <c r="T160" s="711"/>
      <c r="U160" s="711"/>
      <c r="V160" s="711"/>
      <c r="W160" s="711"/>
      <c r="X160" s="711"/>
      <c r="Y160" s="712"/>
    </row>
    <row r="161" spans="1:25" ht="15">
      <c r="A161" s="782">
        <v>1</v>
      </c>
      <c r="B161" s="90">
        <v>4143.8</v>
      </c>
      <c r="C161" s="90">
        <v>4191.3</v>
      </c>
      <c r="D161" s="90">
        <v>4264.9</v>
      </c>
      <c r="E161" s="90">
        <v>4304</v>
      </c>
      <c r="F161" s="90">
        <v>4341.7</v>
      </c>
      <c r="G161" s="90">
        <v>4378</v>
      </c>
      <c r="H161" s="90">
        <v>4412.7</v>
      </c>
      <c r="I161" s="90">
        <v>4447.1</v>
      </c>
      <c r="J161" s="90">
        <v>4406.4</v>
      </c>
      <c r="K161" s="102">
        <v>4365.5</v>
      </c>
      <c r="L161" s="711">
        <v>4324.3</v>
      </c>
      <c r="M161" s="711">
        <v>4183.1</v>
      </c>
      <c r="N161" s="711">
        <v>4184.1</v>
      </c>
      <c r="O161" s="711">
        <v>4183.2</v>
      </c>
      <c r="P161" s="711">
        <v>4180.4</v>
      </c>
      <c r="Q161" s="711">
        <v>4174</v>
      </c>
      <c r="R161" s="711"/>
      <c r="S161" s="711"/>
      <c r="T161" s="711"/>
      <c r="U161" s="711"/>
      <c r="V161" s="711"/>
      <c r="W161" s="711"/>
      <c r="X161" s="711"/>
      <c r="Y161" s="712"/>
    </row>
    <row r="162" spans="1:25" ht="15">
      <c r="A162" s="782">
        <v>2</v>
      </c>
      <c r="B162" s="90">
        <v>4123.1</v>
      </c>
      <c r="C162" s="90">
        <v>4144.3</v>
      </c>
      <c r="D162" s="90">
        <v>4176.4</v>
      </c>
      <c r="E162" s="90">
        <v>4217.7</v>
      </c>
      <c r="F162" s="90">
        <v>4257</v>
      </c>
      <c r="G162" s="90">
        <v>4294.5</v>
      </c>
      <c r="H162" s="90">
        <v>4330.2</v>
      </c>
      <c r="I162" s="90">
        <v>4364.9</v>
      </c>
      <c r="J162" s="90">
        <v>4355.8</v>
      </c>
      <c r="K162" s="102">
        <v>4346.2</v>
      </c>
      <c r="L162" s="711">
        <v>4336.1</v>
      </c>
      <c r="M162" s="711">
        <v>4194.5</v>
      </c>
      <c r="N162" s="711">
        <v>4195.5</v>
      </c>
      <c r="O162" s="711">
        <v>4194.6</v>
      </c>
      <c r="P162" s="711">
        <v>4191.8</v>
      </c>
      <c r="Q162" s="711">
        <v>4185.4</v>
      </c>
      <c r="R162" s="711"/>
      <c r="S162" s="711"/>
      <c r="T162" s="711"/>
      <c r="U162" s="711"/>
      <c r="V162" s="711"/>
      <c r="W162" s="711"/>
      <c r="X162" s="711"/>
      <c r="Y162" s="712"/>
    </row>
    <row r="163" spans="1:25" ht="15">
      <c r="A163" s="782">
        <v>3</v>
      </c>
      <c r="B163" s="90">
        <v>4094.5</v>
      </c>
      <c r="C163" s="90">
        <v>4097.8</v>
      </c>
      <c r="D163" s="90">
        <v>4101.9</v>
      </c>
      <c r="E163" s="90">
        <v>4147</v>
      </c>
      <c r="F163" s="90">
        <v>4190</v>
      </c>
      <c r="G163" s="90">
        <v>4230.7</v>
      </c>
      <c r="H163" s="90">
        <v>4269.5</v>
      </c>
      <c r="I163" s="90">
        <v>4306.5</v>
      </c>
      <c r="J163" s="90">
        <v>4319.6</v>
      </c>
      <c r="K163" s="102">
        <v>4331.8</v>
      </c>
      <c r="L163" s="711">
        <v>4343.2</v>
      </c>
      <c r="M163" s="711">
        <v>4201.4</v>
      </c>
      <c r="N163" s="711">
        <v>4202.4</v>
      </c>
      <c r="O163" s="711">
        <v>4201.5</v>
      </c>
      <c r="P163" s="711">
        <v>4198.7</v>
      </c>
      <c r="Q163" s="711">
        <v>4192.3</v>
      </c>
      <c r="R163" s="711"/>
      <c r="S163" s="711"/>
      <c r="T163" s="711"/>
      <c r="U163" s="711"/>
      <c r="V163" s="711"/>
      <c r="W163" s="711"/>
      <c r="X163" s="711"/>
      <c r="Y163" s="712"/>
    </row>
    <row r="164" spans="1:25" ht="15">
      <c r="A164" s="782">
        <v>4</v>
      </c>
      <c r="B164" s="90">
        <v>4066.1</v>
      </c>
      <c r="C164" s="90">
        <v>4057.7</v>
      </c>
      <c r="D164" s="90">
        <v>4043.7</v>
      </c>
      <c r="E164" s="90">
        <v>4092.6</v>
      </c>
      <c r="F164" s="90">
        <v>4139.2</v>
      </c>
      <c r="G164" s="90">
        <v>4183.2</v>
      </c>
      <c r="H164" s="90">
        <v>4225.1</v>
      </c>
      <c r="I164" s="90">
        <v>4264.7</v>
      </c>
      <c r="J164" s="90">
        <v>4292.2</v>
      </c>
      <c r="K164" s="102">
        <v>4318.6</v>
      </c>
      <c r="L164" s="711">
        <v>4343.9</v>
      </c>
      <c r="M164" s="711">
        <v>4202</v>
      </c>
      <c r="N164" s="711">
        <v>4203.1</v>
      </c>
      <c r="O164" s="711">
        <v>4202.2</v>
      </c>
      <c r="P164" s="711">
        <v>4199.3</v>
      </c>
      <c r="Q164" s="711">
        <v>4192.9</v>
      </c>
      <c r="R164" s="711"/>
      <c r="S164" s="711"/>
      <c r="T164" s="711"/>
      <c r="U164" s="711"/>
      <c r="V164" s="711"/>
      <c r="W164" s="711"/>
      <c r="X164" s="711"/>
      <c r="Y164" s="712"/>
    </row>
    <row r="165" spans="1:25" s="790" customFormat="1" ht="15">
      <c r="A165" s="784" t="s">
        <v>464</v>
      </c>
      <c r="B165" s="785">
        <f>SUM(B160:B164)</f>
        <v>20576.4</v>
      </c>
      <c r="C165" s="786">
        <f aca="true" t="shared" si="37" ref="C165:K165">SUM(C160:C164)</f>
        <v>20724.4</v>
      </c>
      <c r="D165" s="786">
        <f t="shared" si="37"/>
        <v>20952.1</v>
      </c>
      <c r="E165" s="786">
        <f t="shared" si="37"/>
        <v>21167.3</v>
      </c>
      <c r="F165" s="786">
        <f t="shared" si="37"/>
        <v>21373.9</v>
      </c>
      <c r="G165" s="786">
        <f t="shared" si="37"/>
        <v>21571.4</v>
      </c>
      <c r="H165" s="786">
        <f t="shared" si="37"/>
        <v>21760.199999999997</v>
      </c>
      <c r="I165" s="786">
        <f t="shared" si="37"/>
        <v>21944.000000000004</v>
      </c>
      <c r="J165" s="786">
        <f t="shared" si="37"/>
        <v>21850.899999999998</v>
      </c>
      <c r="K165" s="787">
        <f t="shared" si="37"/>
        <v>21755.300000000003</v>
      </c>
      <c r="L165" s="788">
        <f aca="true" t="shared" si="38" ref="L165:Q165">SUM(L160:L164)</f>
        <v>21657.1</v>
      </c>
      <c r="M165" s="788">
        <f t="shared" si="38"/>
        <v>20949.9</v>
      </c>
      <c r="N165" s="788">
        <f t="shared" si="38"/>
        <v>20955</v>
      </c>
      <c r="O165" s="788">
        <f t="shared" si="38"/>
        <v>20950.500000000004</v>
      </c>
      <c r="P165" s="788">
        <f t="shared" si="38"/>
        <v>20936.399999999998</v>
      </c>
      <c r="Q165" s="788">
        <f t="shared" si="38"/>
        <v>20904.4</v>
      </c>
      <c r="R165" s="788"/>
      <c r="S165" s="788"/>
      <c r="T165" s="788"/>
      <c r="U165" s="788"/>
      <c r="V165" s="788"/>
      <c r="W165" s="788"/>
      <c r="X165" s="788"/>
      <c r="Y165" s="789"/>
    </row>
    <row r="166" spans="2:25" ht="15">
      <c r="B166" s="254">
        <v>1</v>
      </c>
      <c r="C166" s="254">
        <v>2</v>
      </c>
      <c r="D166" s="254">
        <v>3</v>
      </c>
      <c r="E166" s="254">
        <v>4</v>
      </c>
      <c r="F166" s="254">
        <v>5</v>
      </c>
      <c r="G166" s="254">
        <v>6</v>
      </c>
      <c r="H166" s="254">
        <v>7</v>
      </c>
      <c r="I166" s="254">
        <v>8</v>
      </c>
      <c r="J166" s="254">
        <v>9</v>
      </c>
      <c r="K166" s="254">
        <v>10</v>
      </c>
      <c r="L166" s="254">
        <v>11</v>
      </c>
      <c r="M166" s="254">
        <v>12</v>
      </c>
      <c r="N166" s="254">
        <v>13</v>
      </c>
      <c r="O166" s="254">
        <v>14</v>
      </c>
      <c r="P166" s="254">
        <v>15</v>
      </c>
      <c r="Q166" s="254">
        <v>16</v>
      </c>
      <c r="R166" s="254">
        <v>17</v>
      </c>
      <c r="S166" s="254">
        <v>18</v>
      </c>
      <c r="T166" s="254">
        <v>19</v>
      </c>
      <c r="U166" s="254">
        <v>20</v>
      </c>
      <c r="V166" s="254">
        <v>21</v>
      </c>
      <c r="W166" s="254">
        <v>22</v>
      </c>
      <c r="X166" s="254">
        <v>23</v>
      </c>
      <c r="Y166" s="254">
        <v>24</v>
      </c>
    </row>
    <row r="167" spans="1:26" ht="15">
      <c r="A167" s="259" t="s">
        <v>76</v>
      </c>
      <c r="B167" s="116">
        <v>2005</v>
      </c>
      <c r="C167" s="116">
        <v>2006</v>
      </c>
      <c r="D167" s="116">
        <v>2007</v>
      </c>
      <c r="E167" s="116">
        <v>2008</v>
      </c>
      <c r="F167" s="116">
        <v>2009</v>
      </c>
      <c r="G167" s="116">
        <v>2010</v>
      </c>
      <c r="H167" s="116">
        <v>2011</v>
      </c>
      <c r="I167" s="116">
        <v>2012</v>
      </c>
      <c r="J167" s="116">
        <v>2013</v>
      </c>
      <c r="K167" s="116">
        <v>2014</v>
      </c>
      <c r="L167" s="116">
        <v>2015</v>
      </c>
      <c r="M167" s="116">
        <v>2016</v>
      </c>
      <c r="N167" s="116">
        <v>2017</v>
      </c>
      <c r="O167" s="116">
        <v>2018</v>
      </c>
      <c r="P167" s="116">
        <v>2019</v>
      </c>
      <c r="Q167" s="116">
        <v>2020</v>
      </c>
      <c r="R167" s="116">
        <v>2021</v>
      </c>
      <c r="S167" s="116">
        <v>2022</v>
      </c>
      <c r="T167" s="116">
        <v>2023</v>
      </c>
      <c r="U167" s="116">
        <v>2024</v>
      </c>
      <c r="V167" s="116">
        <v>2025</v>
      </c>
      <c r="W167" s="116">
        <v>2026</v>
      </c>
      <c r="X167" s="116">
        <v>2027</v>
      </c>
      <c r="Y167" s="116">
        <v>2028</v>
      </c>
      <c r="Z167" s="455" t="s">
        <v>77</v>
      </c>
    </row>
    <row r="168" spans="1:26" ht="15">
      <c r="A168" s="783" t="s">
        <v>460</v>
      </c>
      <c r="B168" s="85"/>
      <c r="C168" s="85"/>
      <c r="D168" s="85"/>
      <c r="E168" s="678"/>
      <c r="F168" s="678"/>
      <c r="G168" s="678"/>
      <c r="H168" s="679"/>
      <c r="I168" s="679"/>
      <c r="J168" s="679"/>
      <c r="K168" s="680"/>
      <c r="L168" s="676"/>
      <c r="M168" s="676"/>
      <c r="N168" s="676"/>
      <c r="O168" s="676"/>
      <c r="P168" s="676"/>
      <c r="Q168" s="676"/>
      <c r="R168" s="676"/>
      <c r="S168" s="676"/>
      <c r="T168" s="676"/>
      <c r="U168" s="676"/>
      <c r="V168" s="676"/>
      <c r="W168" s="676"/>
      <c r="X168" s="676"/>
      <c r="Y168" s="949"/>
      <c r="Z168" s="796" t="s">
        <v>449</v>
      </c>
    </row>
    <row r="169" spans="1:26" ht="15">
      <c r="A169" s="782">
        <v>0</v>
      </c>
      <c r="B169" s="763">
        <f aca="true" t="shared" si="39" ref="B169:C171">B160/B$165</f>
        <v>0.2016339106938045</v>
      </c>
      <c r="C169" s="763">
        <f t="shared" si="39"/>
        <v>0.20426646851054794</v>
      </c>
      <c r="D169" s="763">
        <f aca="true" t="shared" si="40" ref="D169:K169">D160/D$165</f>
        <v>0.20834188458436148</v>
      </c>
      <c r="E169" s="763">
        <f t="shared" si="40"/>
        <v>0.208151252167258</v>
      </c>
      <c r="F169" s="763">
        <f t="shared" si="40"/>
        <v>0.2080107046444495</v>
      </c>
      <c r="G169" s="763">
        <f t="shared" si="40"/>
        <v>0.2079141826677916</v>
      </c>
      <c r="H169" s="763">
        <f t="shared" si="40"/>
        <v>0.20784275879817282</v>
      </c>
      <c r="I169" s="763">
        <f t="shared" si="40"/>
        <v>0.20783813343055046</v>
      </c>
      <c r="J169" s="763">
        <f t="shared" si="40"/>
        <v>0.20488400935430578</v>
      </c>
      <c r="K169" s="764">
        <f t="shared" si="40"/>
        <v>0.2019369992599504</v>
      </c>
      <c r="L169" s="794">
        <f aca="true" t="shared" si="41" ref="L169:Q169">L160/L$165</f>
        <v>0.1989924782173052</v>
      </c>
      <c r="M169" s="794">
        <f t="shared" si="41"/>
        <v>0.19899378994649136</v>
      </c>
      <c r="N169" s="794">
        <f t="shared" si="41"/>
        <v>0.19899308041040323</v>
      </c>
      <c r="O169" s="794">
        <f t="shared" si="41"/>
        <v>0.19899286413212092</v>
      </c>
      <c r="P169" s="794">
        <f t="shared" si="41"/>
        <v>0.19899314113219083</v>
      </c>
      <c r="Q169" s="794">
        <f t="shared" si="41"/>
        <v>0.19899159985457607</v>
      </c>
      <c r="R169" s="797">
        <f>-0.0006*R166+0.2087</f>
        <v>0.1985</v>
      </c>
      <c r="S169" s="797">
        <f>-0.0006*S166+0.2087</f>
        <v>0.1979</v>
      </c>
      <c r="T169" s="797">
        <f aca="true" t="shared" si="42" ref="T169:Y169">-0.0006*T166+0.2087</f>
        <v>0.1973</v>
      </c>
      <c r="U169" s="797">
        <f t="shared" si="42"/>
        <v>0.19669999999999999</v>
      </c>
      <c r="V169" s="797">
        <f t="shared" si="42"/>
        <v>0.1961</v>
      </c>
      <c r="W169" s="797">
        <f t="shared" si="42"/>
        <v>0.1955</v>
      </c>
      <c r="X169" s="797">
        <f t="shared" si="42"/>
        <v>0.1949</v>
      </c>
      <c r="Y169" s="798">
        <f t="shared" si="42"/>
        <v>0.1943</v>
      </c>
      <c r="Z169" s="254" t="s">
        <v>451</v>
      </c>
    </row>
    <row r="170" spans="1:25" ht="15">
      <c r="A170" s="782">
        <v>1</v>
      </c>
      <c r="B170" s="763">
        <f t="shared" si="39"/>
        <v>0.2013860539258568</v>
      </c>
      <c r="C170" s="763">
        <f t="shared" si="39"/>
        <v>0.20223987184188685</v>
      </c>
      <c r="D170" s="763">
        <f aca="true" t="shared" si="43" ref="D170:K170">D161/D$165</f>
        <v>0.2035547749390276</v>
      </c>
      <c r="E170" s="763">
        <f t="shared" si="43"/>
        <v>0.20333249871263695</v>
      </c>
      <c r="F170" s="763">
        <f t="shared" si="43"/>
        <v>0.2031309213573564</v>
      </c>
      <c r="G170" s="763">
        <f t="shared" si="43"/>
        <v>0.20295391119723336</v>
      </c>
      <c r="H170" s="763">
        <f t="shared" si="43"/>
        <v>0.20278765820167097</v>
      </c>
      <c r="I170" s="763">
        <f t="shared" si="43"/>
        <v>0.202656762668611</v>
      </c>
      <c r="J170" s="763">
        <f t="shared" si="43"/>
        <v>0.20165759762755767</v>
      </c>
      <c r="K170" s="764">
        <f t="shared" si="43"/>
        <v>0.20066374630549794</v>
      </c>
      <c r="L170" s="794">
        <f aca="true" t="shared" si="44" ref="L170:Q170">L161/L$165</f>
        <v>0.19967123945495938</v>
      </c>
      <c r="M170" s="794">
        <f t="shared" si="44"/>
        <v>0.19967159747779226</v>
      </c>
      <c r="N170" s="794">
        <f t="shared" si="44"/>
        <v>0.1996707229778096</v>
      </c>
      <c r="O170" s="794">
        <f t="shared" si="44"/>
        <v>0.1996706522517362</v>
      </c>
      <c r="P170" s="794">
        <f t="shared" si="44"/>
        <v>0.19967138572056323</v>
      </c>
      <c r="Q170" s="794">
        <f t="shared" si="44"/>
        <v>0.19967088268498495</v>
      </c>
      <c r="R170" s="797">
        <f>-0.0003*R166+0.2037</f>
        <v>0.1986</v>
      </c>
      <c r="S170" s="797">
        <f aca="true" t="shared" si="45" ref="S170:Y170">-0.0003*S166+0.2037</f>
        <v>0.1983</v>
      </c>
      <c r="T170" s="797">
        <f t="shared" si="45"/>
        <v>0.19799999999999998</v>
      </c>
      <c r="U170" s="797">
        <f t="shared" si="45"/>
        <v>0.1977</v>
      </c>
      <c r="V170" s="797">
        <f t="shared" si="45"/>
        <v>0.1974</v>
      </c>
      <c r="W170" s="797">
        <f t="shared" si="45"/>
        <v>0.1971</v>
      </c>
      <c r="X170" s="797">
        <f t="shared" si="45"/>
        <v>0.1968</v>
      </c>
      <c r="Y170" s="798">
        <f t="shared" si="45"/>
        <v>0.19649999999999998</v>
      </c>
    </row>
    <row r="171" spans="1:25" ht="15">
      <c r="A171" s="782">
        <v>2</v>
      </c>
      <c r="B171" s="763">
        <f t="shared" si="39"/>
        <v>0.20038004704418655</v>
      </c>
      <c r="C171" s="763">
        <f t="shared" si="39"/>
        <v>0.19997201366505182</v>
      </c>
      <c r="D171" s="763">
        <f aca="true" t="shared" si="46" ref="D171:K171">D162/D$165</f>
        <v>0.199330854663733</v>
      </c>
      <c r="E171" s="763">
        <f t="shared" si="46"/>
        <v>0.1992554553485801</v>
      </c>
      <c r="F171" s="763">
        <f t="shared" si="46"/>
        <v>0.19916814432555593</v>
      </c>
      <c r="G171" s="763">
        <f t="shared" si="46"/>
        <v>0.19908304514310612</v>
      </c>
      <c r="H171" s="763">
        <f t="shared" si="46"/>
        <v>0.19899633275429457</v>
      </c>
      <c r="I171" s="763">
        <f t="shared" si="46"/>
        <v>0.19891086401749905</v>
      </c>
      <c r="J171" s="763">
        <f t="shared" si="46"/>
        <v>0.1993419035371541</v>
      </c>
      <c r="K171" s="764">
        <f t="shared" si="46"/>
        <v>0.1997766061603379</v>
      </c>
      <c r="L171" s="794">
        <f aca="true" t="shared" si="47" ref="L171:Q171">L162/L$165</f>
        <v>0.20021609541443686</v>
      </c>
      <c r="M171" s="794">
        <f t="shared" si="47"/>
        <v>0.2002157528198225</v>
      </c>
      <c r="N171" s="794">
        <f t="shared" si="47"/>
        <v>0.20021474588403723</v>
      </c>
      <c r="O171" s="794">
        <f t="shared" si="47"/>
        <v>0.2002147920097372</v>
      </c>
      <c r="P171" s="794">
        <f t="shared" si="47"/>
        <v>0.20021589193939746</v>
      </c>
      <c r="Q171" s="794">
        <f t="shared" si="47"/>
        <v>0.2002162224220738</v>
      </c>
      <c r="R171" s="797">
        <f>0.00005*R166+0.1993</f>
        <v>0.20015</v>
      </c>
      <c r="S171" s="797">
        <f>0.00005*S166+0.1993</f>
        <v>0.20020000000000002</v>
      </c>
      <c r="T171" s="797">
        <f aca="true" t="shared" si="48" ref="T171:Y171">0.00005*T166+0.1993</f>
        <v>0.20025</v>
      </c>
      <c r="U171" s="797">
        <f t="shared" si="48"/>
        <v>0.2003</v>
      </c>
      <c r="V171" s="797">
        <f t="shared" si="48"/>
        <v>0.20035</v>
      </c>
      <c r="W171" s="797">
        <f t="shared" si="48"/>
        <v>0.2004</v>
      </c>
      <c r="X171" s="797">
        <f t="shared" si="48"/>
        <v>0.20045000000000002</v>
      </c>
      <c r="Y171" s="798">
        <f t="shared" si="48"/>
        <v>0.2005</v>
      </c>
    </row>
    <row r="172" spans="1:25" ht="15">
      <c r="A172" s="782">
        <v>3</v>
      </c>
      <c r="B172" s="763">
        <f>B163/B$165</f>
        <v>0.19899010516902857</v>
      </c>
      <c r="C172" s="763">
        <f aca="true" t="shared" si="49" ref="C172:K172">C163/C$165</f>
        <v>0.19772828163903416</v>
      </c>
      <c r="D172" s="763">
        <f t="shared" si="49"/>
        <v>0.1957751251664511</v>
      </c>
      <c r="E172" s="763">
        <f t="shared" si="49"/>
        <v>0.19591539780699477</v>
      </c>
      <c r="F172" s="763">
        <f t="shared" si="49"/>
        <v>0.19603348008552485</v>
      </c>
      <c r="G172" s="763">
        <f t="shared" si="49"/>
        <v>0.19612542533168917</v>
      </c>
      <c r="H172" s="763">
        <f t="shared" si="49"/>
        <v>0.1962068363342249</v>
      </c>
      <c r="I172" s="763">
        <f t="shared" si="49"/>
        <v>0.19624954429456795</v>
      </c>
      <c r="J172" s="763">
        <f t="shared" si="49"/>
        <v>0.19768522120370333</v>
      </c>
      <c r="K172" s="764">
        <f t="shared" si="49"/>
        <v>0.19911469848726515</v>
      </c>
      <c r="L172" s="794">
        <f aca="true" t="shared" si="50" ref="L172:Q172">L163/L$165</f>
        <v>0.20054393247480043</v>
      </c>
      <c r="M172" s="794">
        <f t="shared" si="50"/>
        <v>0.20054511000052502</v>
      </c>
      <c r="N172" s="794">
        <f t="shared" si="50"/>
        <v>0.2005440229062276</v>
      </c>
      <c r="O172" s="794">
        <f t="shared" si="50"/>
        <v>0.20054413975800098</v>
      </c>
      <c r="P172" s="794">
        <f t="shared" si="50"/>
        <v>0.20054546149290234</v>
      </c>
      <c r="Q172" s="794">
        <f t="shared" si="50"/>
        <v>0.2005462964734697</v>
      </c>
      <c r="R172" s="797">
        <f>0.0003*R166+0.1956</f>
        <v>0.2007</v>
      </c>
      <c r="S172" s="797">
        <f>0.0003*S166+0.1956</f>
        <v>0.20099999999999998</v>
      </c>
      <c r="T172" s="797">
        <f aca="true" t="shared" si="51" ref="T172:Y172">0.0003*T166+0.1956</f>
        <v>0.2013</v>
      </c>
      <c r="U172" s="797">
        <f t="shared" si="51"/>
        <v>0.2016</v>
      </c>
      <c r="V172" s="797">
        <f t="shared" si="51"/>
        <v>0.2019</v>
      </c>
      <c r="W172" s="797">
        <f t="shared" si="51"/>
        <v>0.2022</v>
      </c>
      <c r="X172" s="797">
        <f t="shared" si="51"/>
        <v>0.20249999999999999</v>
      </c>
      <c r="Y172" s="798">
        <f t="shared" si="51"/>
        <v>0.2028</v>
      </c>
    </row>
    <row r="173" spans="1:25" ht="15">
      <c r="A173" s="782">
        <v>4</v>
      </c>
      <c r="B173" s="763">
        <f>B164/B$165</f>
        <v>0.1976098831671235</v>
      </c>
      <c r="C173" s="763">
        <f aca="true" t="shared" si="52" ref="C173:K173">C164/C$165</f>
        <v>0.19579336434347916</v>
      </c>
      <c r="D173" s="763">
        <f t="shared" si="52"/>
        <v>0.19299736064642686</v>
      </c>
      <c r="E173" s="763">
        <f t="shared" si="52"/>
        <v>0.1933453959645302</v>
      </c>
      <c r="F173" s="763">
        <f t="shared" si="52"/>
        <v>0.19365674958711324</v>
      </c>
      <c r="G173" s="763">
        <f t="shared" si="52"/>
        <v>0.19392343566017967</v>
      </c>
      <c r="H173" s="763">
        <f t="shared" si="52"/>
        <v>0.1941664139116369</v>
      </c>
      <c r="I173" s="763">
        <f t="shared" si="52"/>
        <v>0.19434469558877138</v>
      </c>
      <c r="J173" s="763">
        <f t="shared" si="52"/>
        <v>0.19643126827727922</v>
      </c>
      <c r="K173" s="764">
        <f t="shared" si="52"/>
        <v>0.19850794978694847</v>
      </c>
      <c r="L173" s="794">
        <f aca="true" t="shared" si="53" ref="L173:Q173">L164/L$165</f>
        <v>0.20057625443849822</v>
      </c>
      <c r="M173" s="794">
        <f t="shared" si="53"/>
        <v>0.20057374975536874</v>
      </c>
      <c r="N173" s="794">
        <f t="shared" si="53"/>
        <v>0.20057742782152232</v>
      </c>
      <c r="O173" s="794">
        <f t="shared" si="53"/>
        <v>0.20057755184840453</v>
      </c>
      <c r="P173" s="794">
        <f t="shared" si="53"/>
        <v>0.20057411971494624</v>
      </c>
      <c r="Q173" s="794">
        <f t="shared" si="53"/>
        <v>0.20057499856489538</v>
      </c>
      <c r="R173" s="797">
        <f>0.0005*R166+0.1927</f>
        <v>0.20120000000000002</v>
      </c>
      <c r="S173" s="797">
        <f>0.0005*S166+0.1927</f>
        <v>0.20170000000000002</v>
      </c>
      <c r="T173" s="797">
        <f aca="true" t="shared" si="54" ref="T173:Y173">0.0005*T166+0.1927</f>
        <v>0.20220000000000002</v>
      </c>
      <c r="U173" s="797">
        <f t="shared" si="54"/>
        <v>0.20270000000000002</v>
      </c>
      <c r="V173" s="797">
        <f t="shared" si="54"/>
        <v>0.20320000000000002</v>
      </c>
      <c r="W173" s="797">
        <f t="shared" si="54"/>
        <v>0.20370000000000002</v>
      </c>
      <c r="X173" s="797">
        <f t="shared" si="54"/>
        <v>0.20420000000000002</v>
      </c>
      <c r="Y173" s="798">
        <f t="shared" si="54"/>
        <v>0.20470000000000002</v>
      </c>
    </row>
    <row r="174" spans="1:25" s="790" customFormat="1" ht="15">
      <c r="A174" s="784" t="s">
        <v>463</v>
      </c>
      <c r="B174" s="791">
        <f>SUM(B169:B173)</f>
        <v>0.9999999999999999</v>
      </c>
      <c r="C174" s="792">
        <f aca="true" t="shared" si="55" ref="C174:K174">SUM(C169:C173)</f>
        <v>0.9999999999999999</v>
      </c>
      <c r="D174" s="792">
        <f t="shared" si="55"/>
        <v>1</v>
      </c>
      <c r="E174" s="792">
        <f t="shared" si="55"/>
        <v>1</v>
      </c>
      <c r="F174" s="792">
        <f t="shared" si="55"/>
        <v>0.9999999999999999</v>
      </c>
      <c r="G174" s="792">
        <f t="shared" si="55"/>
        <v>1</v>
      </c>
      <c r="H174" s="792">
        <f t="shared" si="55"/>
        <v>1</v>
      </c>
      <c r="I174" s="792">
        <f t="shared" si="55"/>
        <v>0.9999999999999998</v>
      </c>
      <c r="J174" s="792">
        <f t="shared" si="55"/>
        <v>1.0000000000000002</v>
      </c>
      <c r="K174" s="793">
        <f t="shared" si="55"/>
        <v>0.9999999999999998</v>
      </c>
      <c r="L174" s="795">
        <f aca="true" t="shared" si="56" ref="L174:Q174">SUM(L169:L173)</f>
        <v>1</v>
      </c>
      <c r="M174" s="795">
        <f t="shared" si="56"/>
        <v>0.9999999999999998</v>
      </c>
      <c r="N174" s="795">
        <f t="shared" si="56"/>
        <v>1</v>
      </c>
      <c r="O174" s="795">
        <f t="shared" si="56"/>
        <v>0.9999999999999999</v>
      </c>
      <c r="P174" s="795">
        <f t="shared" si="56"/>
        <v>1</v>
      </c>
      <c r="Q174" s="795">
        <f t="shared" si="56"/>
        <v>0.9999999999999999</v>
      </c>
      <c r="R174" s="948">
        <f aca="true" t="shared" si="57" ref="R174:X174">SUM(R169:R173)</f>
        <v>0.9991500000000001</v>
      </c>
      <c r="S174" s="948">
        <f aca="true" t="shared" si="58" ref="S174:Y174">SUM(S169:S173)</f>
        <v>0.9991</v>
      </c>
      <c r="T174" s="948">
        <f t="shared" si="57"/>
        <v>0.9990500000000001</v>
      </c>
      <c r="U174" s="948">
        <f t="shared" si="58"/>
        <v>0.999</v>
      </c>
      <c r="V174" s="948">
        <f t="shared" si="57"/>
        <v>0.99895</v>
      </c>
      <c r="W174" s="948">
        <f t="shared" si="58"/>
        <v>0.9988999999999999</v>
      </c>
      <c r="X174" s="948">
        <f t="shared" si="57"/>
        <v>0.99885</v>
      </c>
      <c r="Y174" s="950">
        <f t="shared" si="58"/>
        <v>0.9987999999999999</v>
      </c>
    </row>
    <row r="200" spans="1:26" ht="15">
      <c r="A200" s="259" t="s">
        <v>76</v>
      </c>
      <c r="B200" s="116">
        <v>2005</v>
      </c>
      <c r="C200" s="116">
        <v>2006</v>
      </c>
      <c r="D200" s="116">
        <v>2007</v>
      </c>
      <c r="E200" s="116">
        <v>2008</v>
      </c>
      <c r="F200" s="116">
        <v>2009</v>
      </c>
      <c r="G200" s="116">
        <v>2010</v>
      </c>
      <c r="H200" s="116">
        <v>2011</v>
      </c>
      <c r="I200" s="116">
        <v>2012</v>
      </c>
      <c r="J200" s="116">
        <v>2013</v>
      </c>
      <c r="K200" s="116">
        <v>2014</v>
      </c>
      <c r="L200" s="116">
        <v>2015</v>
      </c>
      <c r="M200" s="116">
        <v>2016</v>
      </c>
      <c r="N200" s="116">
        <v>2017</v>
      </c>
      <c r="O200" s="116">
        <v>2018</v>
      </c>
      <c r="P200" s="116">
        <v>2019</v>
      </c>
      <c r="Q200" s="116">
        <v>2020</v>
      </c>
      <c r="R200" s="116">
        <v>2021</v>
      </c>
      <c r="S200" s="116">
        <v>2022</v>
      </c>
      <c r="T200" s="116">
        <v>2023</v>
      </c>
      <c r="U200" s="116">
        <v>2024</v>
      </c>
      <c r="V200" s="116">
        <v>2025</v>
      </c>
      <c r="W200" s="116">
        <v>2026</v>
      </c>
      <c r="X200" s="116">
        <v>2027</v>
      </c>
      <c r="Y200" s="116">
        <v>2028</v>
      </c>
      <c r="Z200" s="455" t="s">
        <v>77</v>
      </c>
    </row>
    <row r="201" spans="1:25" ht="15">
      <c r="A201" s="783" t="s">
        <v>450</v>
      </c>
      <c r="B201" s="85"/>
      <c r="C201" s="85"/>
      <c r="D201" s="85"/>
      <c r="E201" s="678"/>
      <c r="F201" s="678"/>
      <c r="G201" s="678"/>
      <c r="H201" s="679"/>
      <c r="I201" s="679"/>
      <c r="J201" s="679"/>
      <c r="K201" s="680"/>
      <c r="L201" s="676"/>
      <c r="M201" s="676"/>
      <c r="N201" s="676"/>
      <c r="O201" s="676"/>
      <c r="P201" s="676"/>
      <c r="Q201" s="676"/>
      <c r="R201" s="676"/>
      <c r="S201" s="676"/>
      <c r="T201" s="676"/>
      <c r="U201" s="676"/>
      <c r="V201" s="676"/>
      <c r="W201" s="676"/>
      <c r="X201" s="676"/>
      <c r="Y201" s="949"/>
    </row>
    <row r="202" spans="1:26" ht="15">
      <c r="A202" s="782">
        <v>0</v>
      </c>
      <c r="B202" s="799">
        <f>B169*POP!B$51</f>
        <v>2300.4412871056156</v>
      </c>
      <c r="C202" s="799">
        <f>C169*POP!C$51</f>
        <v>2312.704956476424</v>
      </c>
      <c r="D202" s="799">
        <f>D169*POP!D$51</f>
        <v>2330.5123209606677</v>
      </c>
      <c r="E202" s="799">
        <f>E169*POP!E$51</f>
        <v>2290.0800763441725</v>
      </c>
      <c r="F202" s="799">
        <f>F169*POP!F$51</f>
        <v>2251.299856366877</v>
      </c>
      <c r="G202" s="799">
        <f>G169*POP!G$51</f>
        <v>2231.127094208072</v>
      </c>
      <c r="H202" s="799">
        <f>H169*POP!H$51</f>
        <v>2253.846876407386</v>
      </c>
      <c r="I202" s="799">
        <f>I169*POP!I$51</f>
        <v>2272.294312796208</v>
      </c>
      <c r="J202" s="799">
        <f>J169*POP!J$51</f>
        <v>2260.280391196701</v>
      </c>
      <c r="K202" s="801">
        <f>K169*POP!K$51</f>
        <v>2250.3859197528873</v>
      </c>
      <c r="L202" s="711">
        <f>L169*POP!L$51</f>
        <v>2239.66034233577</v>
      </c>
      <c r="M202" s="711">
        <f>M169*POP!M$51</f>
        <v>2261.3654289519277</v>
      </c>
      <c r="N202" s="711">
        <f>N169*POP!N$51</f>
        <v>2276.480839895013</v>
      </c>
      <c r="O202" s="711">
        <f>O169*POP!O$51</f>
        <v>2286.6270017422016</v>
      </c>
      <c r="P202" s="711">
        <f>P169*POP!P$51</f>
        <v>2294.191924113028</v>
      </c>
      <c r="Q202" s="711">
        <f>Q169*POP!Q$51</f>
        <v>2301.934827117736</v>
      </c>
      <c r="R202" s="711">
        <f>R169*POP!R$51</f>
        <v>2302.203</v>
      </c>
      <c r="S202" s="711">
        <f>S169*POP!S$51</f>
        <v>2301.9728</v>
      </c>
      <c r="T202" s="711">
        <f>T169*POP!T$51</f>
        <v>2302.491</v>
      </c>
      <c r="U202" s="711">
        <f>U169*POP!U$51</f>
        <v>2302.1767999999997</v>
      </c>
      <c r="V202" s="711">
        <f>V169*POP!V$51</f>
        <v>2300.8413</v>
      </c>
      <c r="W202" s="711">
        <f>W169*POP!W$51</f>
        <v>2300.0575</v>
      </c>
      <c r="X202" s="711">
        <f>X169*POP!X$51</f>
        <v>2298.8455</v>
      </c>
      <c r="Y202" s="804">
        <f>Y169*POP!Y$51</f>
        <v>2296.4317</v>
      </c>
      <c r="Z202" s="744" t="s">
        <v>405</v>
      </c>
    </row>
    <row r="203" spans="1:25" ht="15">
      <c r="A203" s="782">
        <v>1</v>
      </c>
      <c r="B203" s="799">
        <f>B170*POP!B$51</f>
        <v>2297.6134892401</v>
      </c>
      <c r="C203" s="799">
        <f>C170*POP!C$51</f>
        <v>2289.759828993843</v>
      </c>
      <c r="D203" s="799">
        <f>D170*POP!D$51</f>
        <v>2276.9637124679625</v>
      </c>
      <c r="E203" s="799">
        <f>E170*POP!E$51</f>
        <v>2237.0641508364315</v>
      </c>
      <c r="F203" s="799">
        <f>F170*POP!F$51</f>
        <v>2198.485961850668</v>
      </c>
      <c r="G203" s="799">
        <f>G170*POP!G$51</f>
        <v>2177.8984210575113</v>
      </c>
      <c r="H203" s="799">
        <f>H170*POP!H$51</f>
        <v>2199.02936553892</v>
      </c>
      <c r="I203" s="799">
        <f>I170*POP!I$51</f>
        <v>2215.646386255924</v>
      </c>
      <c r="J203" s="799">
        <f>J170*POP!J$51</f>
        <v>2224.686617027216</v>
      </c>
      <c r="K203" s="801">
        <f>K170*POP!K$51</f>
        <v>2236.196788828469</v>
      </c>
      <c r="L203" s="711">
        <f>L170*POP!L$51</f>
        <v>2247.299800065568</v>
      </c>
      <c r="M203" s="711">
        <f>M170*POP!M$51</f>
        <v>2269.068033737631</v>
      </c>
      <c r="N203" s="711">
        <f>N170*POP!N$51</f>
        <v>2284.233070866142</v>
      </c>
      <c r="O203" s="711">
        <f>O170*POP!O$51</f>
        <v>2294.4154650247006</v>
      </c>
      <c r="P203" s="711">
        <f>P170*POP!P$51</f>
        <v>2302.0114059723733</v>
      </c>
      <c r="Q203" s="711">
        <f>Q170*POP!Q$51</f>
        <v>2309.792770899906</v>
      </c>
      <c r="R203" s="711">
        <f>R170*POP!R$51</f>
        <v>2303.3628</v>
      </c>
      <c r="S203" s="711">
        <f>S170*POP!S$51</f>
        <v>2306.6256</v>
      </c>
      <c r="T203" s="711">
        <f>T170*POP!T$51</f>
        <v>2310.66</v>
      </c>
      <c r="U203" s="711">
        <f>U170*POP!U$51</f>
        <v>2313.8808</v>
      </c>
      <c r="V203" s="711">
        <f>V170*POP!V$51</f>
        <v>2316.0942</v>
      </c>
      <c r="W203" s="711">
        <f>W170*POP!W$51</f>
        <v>2318.8815</v>
      </c>
      <c r="X203" s="711">
        <f>X170*POP!X$51</f>
        <v>2321.256</v>
      </c>
      <c r="Y203" s="804">
        <f>Y170*POP!Y$51</f>
        <v>2322.4334999999996</v>
      </c>
    </row>
    <row r="204" spans="1:25" ht="15">
      <c r="A204" s="782">
        <v>2</v>
      </c>
      <c r="B204" s="799">
        <f>B171*POP!B$51</f>
        <v>2286.1359567271243</v>
      </c>
      <c r="C204" s="799">
        <f>C171*POP!C$51</f>
        <v>2264.083138715717</v>
      </c>
      <c r="D204" s="799">
        <f>D171*POP!D$51</f>
        <v>2229.7149402685172</v>
      </c>
      <c r="E204" s="799">
        <f>E171*POP!E$51</f>
        <v>2192.2085197450783</v>
      </c>
      <c r="F204" s="799">
        <f>F171*POP!F$51</f>
        <v>2155.596826035492</v>
      </c>
      <c r="G204" s="799">
        <f>G171*POP!G$51</f>
        <v>2136.3601574306717</v>
      </c>
      <c r="H204" s="799">
        <f>H171*POP!H$51</f>
        <v>2157.9162323875703</v>
      </c>
      <c r="I204" s="799">
        <f>I171*POP!I$51</f>
        <v>2174.692476303317</v>
      </c>
      <c r="J204" s="799">
        <f>J171*POP!J$51</f>
        <v>2199.1398798218843</v>
      </c>
      <c r="K204" s="801">
        <f>K171*POP!K$51</f>
        <v>2226.3104990508054</v>
      </c>
      <c r="L204" s="711">
        <f>L171*POP!L$51</f>
        <v>2253.432153889487</v>
      </c>
      <c r="M204" s="711">
        <f>M171*POP!M$51</f>
        <v>2275.251815044463</v>
      </c>
      <c r="N204" s="711">
        <f>N171*POP!N$51</f>
        <v>2290.4566929133857</v>
      </c>
      <c r="O204" s="711">
        <f>O171*POP!O$51</f>
        <v>2300.6681749838904</v>
      </c>
      <c r="P204" s="711">
        <f>P171*POP!P$51</f>
        <v>2308.2890181693133</v>
      </c>
      <c r="Q204" s="711">
        <f>Q171*POP!Q$51</f>
        <v>2316.10126097855</v>
      </c>
      <c r="R204" s="711">
        <f>R171*POP!R$51</f>
        <v>2321.3397</v>
      </c>
      <c r="S204" s="711">
        <f>S171*POP!S$51</f>
        <v>2328.7264</v>
      </c>
      <c r="T204" s="711">
        <f>T171*POP!T$51</f>
        <v>2336.9175</v>
      </c>
      <c r="U204" s="711">
        <f>U171*POP!U$51</f>
        <v>2344.3112</v>
      </c>
      <c r="V204" s="711">
        <f>V171*POP!V$51</f>
        <v>2350.70655</v>
      </c>
      <c r="W204" s="711">
        <f>W171*POP!W$51</f>
        <v>2357.706</v>
      </c>
      <c r="X204" s="711">
        <f>X171*POP!X$51</f>
        <v>2364.3077500000004</v>
      </c>
      <c r="Y204" s="804">
        <f>Y171*POP!Y$51</f>
        <v>2369.7095</v>
      </c>
    </row>
    <row r="205" spans="1:25" ht="15">
      <c r="A205" s="782">
        <v>3</v>
      </c>
      <c r="B205" s="799">
        <f>B172*POP!B$51</f>
        <v>2270.2781098734467</v>
      </c>
      <c r="C205" s="799">
        <f>C172*POP!C$51</f>
        <v>2238.6796047171447</v>
      </c>
      <c r="D205" s="799">
        <f>D172*POP!D$51</f>
        <v>2189.9405501119218</v>
      </c>
      <c r="E205" s="799">
        <f>E172*POP!E$51</f>
        <v>2155.4612066725563</v>
      </c>
      <c r="F205" s="799">
        <f>F172*POP!F$51</f>
        <v>2121.6703549656354</v>
      </c>
      <c r="G205" s="799">
        <f>G172*POP!G$51</f>
        <v>2104.6219392343564</v>
      </c>
      <c r="H205" s="799">
        <f>H172*POP!H$51</f>
        <v>2127.6669332083347</v>
      </c>
      <c r="I205" s="799">
        <f>I172*POP!I$51</f>
        <v>2145.5962677725115</v>
      </c>
      <c r="J205" s="799">
        <f>J172*POP!J$51</f>
        <v>2180.863360319255</v>
      </c>
      <c r="K205" s="801">
        <f>K172*POP!K$51</f>
        <v>2218.934199942083</v>
      </c>
      <c r="L205" s="711">
        <f>L172*POP!L$51</f>
        <v>2257.121960003879</v>
      </c>
      <c r="M205" s="711">
        <f>M172*POP!M$51</f>
        <v>2278.9946300459665</v>
      </c>
      <c r="N205" s="711">
        <f>N172*POP!N$51</f>
        <v>2294.2236220472437</v>
      </c>
      <c r="O205" s="711">
        <f>O172*POP!O$51</f>
        <v>2304.452709959189</v>
      </c>
      <c r="P205" s="711">
        <f>P172*POP!P$51</f>
        <v>2312.088625551671</v>
      </c>
      <c r="Q205" s="711">
        <f>Q172*POP!Q$51</f>
        <v>2319.9195576050975</v>
      </c>
      <c r="R205" s="711">
        <f>R172*POP!R$51</f>
        <v>2327.7185999999997</v>
      </c>
      <c r="S205" s="711">
        <f>S172*POP!S$51</f>
        <v>2338.0319999999997</v>
      </c>
      <c r="T205" s="711">
        <f>T172*POP!T$51</f>
        <v>2349.1710000000003</v>
      </c>
      <c r="U205" s="711">
        <f>U172*POP!U$51</f>
        <v>2359.5264</v>
      </c>
      <c r="V205" s="711">
        <f>V172*POP!V$51</f>
        <v>2368.8927</v>
      </c>
      <c r="W205" s="711">
        <f>W172*POP!W$51</f>
        <v>2378.883</v>
      </c>
      <c r="X205" s="711">
        <f>X172*POP!X$51</f>
        <v>2388.4874999999997</v>
      </c>
      <c r="Y205" s="804">
        <f>Y172*POP!Y$51</f>
        <v>2396.8932</v>
      </c>
    </row>
    <row r="206" spans="1:25" ht="15">
      <c r="A206" s="782">
        <v>4</v>
      </c>
      <c r="B206" s="799">
        <f>B173*POP!B$51</f>
        <v>2254.531157053712</v>
      </c>
      <c r="C206" s="799">
        <f>C173*POP!C$51</f>
        <v>2216.772471096871</v>
      </c>
      <c r="D206" s="799">
        <f>D173*POP!D$51</f>
        <v>2158.868476190931</v>
      </c>
      <c r="E206" s="799">
        <f>E173*POP!E$51</f>
        <v>2127.1860464017614</v>
      </c>
      <c r="F206" s="799">
        <f>F173*POP!F$51</f>
        <v>2095.9470007813266</v>
      </c>
      <c r="G206" s="799">
        <f>G173*POP!G$51</f>
        <v>2080.992388069388</v>
      </c>
      <c r="H206" s="799">
        <f>H173*POP!H$51</f>
        <v>2105.5405924577904</v>
      </c>
      <c r="I206" s="799">
        <f>I173*POP!I$51</f>
        <v>2124.7705568720376</v>
      </c>
      <c r="J206" s="799">
        <f>J173*POP!J$51</f>
        <v>2167.029751634944</v>
      </c>
      <c r="K206" s="801">
        <f>K173*POP!K$51</f>
        <v>2212.172592425754</v>
      </c>
      <c r="L206" s="711">
        <f>L173*POP!L$51</f>
        <v>2257.4857437052974</v>
      </c>
      <c r="M206" s="711">
        <f>M173*POP!M$51</f>
        <v>2279.3200922200103</v>
      </c>
      <c r="N206" s="711">
        <f>N173*POP!N$51</f>
        <v>2294.6057742782154</v>
      </c>
      <c r="O206" s="711">
        <f>O173*POP!O$51</f>
        <v>2304.8366482900165</v>
      </c>
      <c r="P206" s="711">
        <f>P173*POP!P$51</f>
        <v>2312.419026193615</v>
      </c>
      <c r="Q206" s="711">
        <f>Q173*POP!Q$51</f>
        <v>2320.25158339871</v>
      </c>
      <c r="R206" s="711">
        <f>R173*POP!R$51</f>
        <v>2333.5176</v>
      </c>
      <c r="S206" s="711">
        <f>S173*POP!S$51</f>
        <v>2346.1744000000003</v>
      </c>
      <c r="T206" s="711">
        <f>T173*POP!T$51</f>
        <v>2359.6740000000004</v>
      </c>
      <c r="U206" s="711">
        <f>U173*POP!U$51</f>
        <v>2372.4008000000003</v>
      </c>
      <c r="V206" s="711">
        <f>V173*POP!V$51</f>
        <v>2384.1456000000003</v>
      </c>
      <c r="W206" s="711">
        <f>W173*POP!W$51</f>
        <v>2396.5305000000003</v>
      </c>
      <c r="X206" s="711">
        <f>X173*POP!X$51</f>
        <v>2408.539</v>
      </c>
      <c r="Y206" s="804">
        <f>Y173*POP!Y$51</f>
        <v>2419.3493000000003</v>
      </c>
    </row>
    <row r="207" spans="1:25" s="790" customFormat="1" ht="15">
      <c r="A207" s="784" t="s">
        <v>461</v>
      </c>
      <c r="B207" s="800">
        <f aca="true" t="shared" si="59" ref="B207:S207">SUM(B202:B206)</f>
        <v>11409</v>
      </c>
      <c r="C207" s="802">
        <f t="shared" si="59"/>
        <v>11321.999999999998</v>
      </c>
      <c r="D207" s="802">
        <f t="shared" si="59"/>
        <v>11186</v>
      </c>
      <c r="E207" s="802">
        <f t="shared" si="59"/>
        <v>11002</v>
      </c>
      <c r="F207" s="802">
        <f t="shared" si="59"/>
        <v>10823</v>
      </c>
      <c r="G207" s="802">
        <f t="shared" si="59"/>
        <v>10730.999999999998</v>
      </c>
      <c r="H207" s="802">
        <f t="shared" si="59"/>
        <v>10844</v>
      </c>
      <c r="I207" s="802">
        <f t="shared" si="59"/>
        <v>10932.999999999998</v>
      </c>
      <c r="J207" s="802">
        <f t="shared" si="59"/>
        <v>11032</v>
      </c>
      <c r="K207" s="803">
        <f t="shared" si="59"/>
        <v>11143.999999999998</v>
      </c>
      <c r="L207" s="788">
        <f t="shared" si="59"/>
        <v>11255.000000000002</v>
      </c>
      <c r="M207" s="788">
        <f t="shared" si="59"/>
        <v>11363.999999999998</v>
      </c>
      <c r="N207" s="788">
        <f t="shared" si="59"/>
        <v>11440</v>
      </c>
      <c r="O207" s="788">
        <f t="shared" si="59"/>
        <v>11490.999999999998</v>
      </c>
      <c r="P207" s="788">
        <f t="shared" si="59"/>
        <v>11529</v>
      </c>
      <c r="Q207" s="788">
        <f t="shared" si="59"/>
        <v>11568</v>
      </c>
      <c r="R207" s="788">
        <f t="shared" si="59"/>
        <v>11588.1417</v>
      </c>
      <c r="S207" s="788">
        <f t="shared" si="59"/>
        <v>11621.5312</v>
      </c>
      <c r="T207" s="788">
        <f aca="true" t="shared" si="60" ref="T207:Y207">SUM(T202:T206)</f>
        <v>11658.9135</v>
      </c>
      <c r="U207" s="788">
        <f t="shared" si="60"/>
        <v>11692.296000000002</v>
      </c>
      <c r="V207" s="788">
        <f t="shared" si="60"/>
        <v>11720.680349999999</v>
      </c>
      <c r="W207" s="788">
        <f t="shared" si="60"/>
        <v>11752.058500000001</v>
      </c>
      <c r="X207" s="788">
        <f t="shared" si="60"/>
        <v>11781.43575</v>
      </c>
      <c r="Y207" s="789">
        <f t="shared" si="60"/>
        <v>11804.8172</v>
      </c>
    </row>
    <row r="208" ht="15">
      <c r="R208" s="254" t="s">
        <v>454</v>
      </c>
    </row>
  </sheetData>
  <mergeCells count="2">
    <mergeCell ref="Z38:Z41"/>
    <mergeCell ref="Z85:Z9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7375D"/>
  </sheetPr>
  <dimension ref="A1:AA133"/>
  <sheetViews>
    <sheetView zoomScale="90" zoomScaleNormal="90" workbookViewId="0" topLeftCell="E76">
      <selection activeCell="J90" sqref="J90"/>
    </sheetView>
  </sheetViews>
  <sheetFormatPr defaultColWidth="8.8515625" defaultRowHeight="15"/>
  <cols>
    <col min="1" max="1" width="36.7109375" style="35" customWidth="1"/>
    <col min="2" max="4" width="8.8515625" style="35" customWidth="1"/>
    <col min="5" max="5" width="10.8515625" style="35" customWidth="1"/>
    <col min="6" max="6" width="10.8515625" style="110" customWidth="1"/>
    <col min="7" max="7" width="11.28125" style="35" customWidth="1"/>
    <col min="8" max="8" width="9.28125" style="35" customWidth="1"/>
    <col min="9" max="25" width="8.8515625" style="35" customWidth="1"/>
    <col min="26" max="26" width="91.7109375" style="35" customWidth="1"/>
    <col min="27" max="27" width="12.00390625" style="35" customWidth="1"/>
    <col min="28" max="16384" width="8.8515625" style="35" customWidth="1"/>
  </cols>
  <sheetData>
    <row r="1" spans="1:25" ht="18">
      <c r="A1" s="74" t="s">
        <v>187</v>
      </c>
      <c r="B1" s="75"/>
      <c r="C1" s="75"/>
      <c r="G1" s="21"/>
      <c r="H1" s="21"/>
      <c r="I1" s="21"/>
      <c r="J1" s="21"/>
      <c r="K1" s="21"/>
      <c r="L1" s="21"/>
      <c r="M1" s="21"/>
      <c r="N1" s="21"/>
      <c r="O1" s="21"/>
      <c r="P1" s="21"/>
      <c r="Q1" s="21"/>
      <c r="R1" s="21"/>
      <c r="S1" s="21"/>
      <c r="T1" s="21"/>
      <c r="U1" s="21"/>
      <c r="V1" s="21"/>
      <c r="W1" s="21"/>
      <c r="X1" s="21"/>
      <c r="Y1" s="21"/>
    </row>
    <row r="2" spans="1:25" ht="15">
      <c r="A2" s="21"/>
      <c r="B2" s="21"/>
      <c r="C2" s="21"/>
      <c r="D2" s="21"/>
      <c r="E2" s="21"/>
      <c r="F2" s="76"/>
      <c r="G2" s="21"/>
      <c r="H2" s="21"/>
      <c r="I2" s="21"/>
      <c r="J2" s="21"/>
      <c r="K2" s="21"/>
      <c r="L2" s="21"/>
      <c r="M2" s="21"/>
      <c r="N2" s="21"/>
      <c r="O2" s="77" t="s">
        <v>23</v>
      </c>
      <c r="P2" s="78"/>
      <c r="Q2" s="79" t="str">
        <f>README!I6</f>
        <v>1.1</v>
      </c>
      <c r="R2" s="79"/>
      <c r="S2" s="79"/>
      <c r="T2" s="79"/>
      <c r="U2" s="79"/>
      <c r="V2" s="79"/>
      <c r="W2" s="79"/>
      <c r="X2" s="79"/>
      <c r="Y2" s="79"/>
    </row>
    <row r="3" spans="1:25" ht="15">
      <c r="A3" s="21"/>
      <c r="B3" s="21"/>
      <c r="C3" s="21"/>
      <c r="D3" s="21"/>
      <c r="E3" s="21"/>
      <c r="F3" s="76"/>
      <c r="G3" s="21"/>
      <c r="H3" s="21"/>
      <c r="I3" s="21"/>
      <c r="J3" s="21"/>
      <c r="K3" s="21"/>
      <c r="L3" s="21"/>
      <c r="M3" s="21"/>
      <c r="N3" s="21"/>
      <c r="O3" s="77" t="s">
        <v>19</v>
      </c>
      <c r="P3" s="78"/>
      <c r="Q3" s="79" t="str">
        <f>README!I7</f>
        <v>Philippines</v>
      </c>
      <c r="R3" s="79"/>
      <c r="S3" s="79"/>
      <c r="T3" s="79"/>
      <c r="U3" s="79"/>
      <c r="V3" s="79"/>
      <c r="W3" s="79"/>
      <c r="X3" s="79"/>
      <c r="Y3" s="79"/>
    </row>
    <row r="4" spans="1:25" ht="12.75" customHeight="1">
      <c r="A4" s="21"/>
      <c r="B4" s="21"/>
      <c r="C4" s="21"/>
      <c r="D4" s="21"/>
      <c r="E4" s="21"/>
      <c r="F4" s="76"/>
      <c r="G4" s="21"/>
      <c r="H4" s="21"/>
      <c r="I4" s="21"/>
      <c r="J4" s="467"/>
      <c r="K4" s="21"/>
      <c r="L4" s="21"/>
      <c r="M4" s="21"/>
      <c r="N4" s="21"/>
      <c r="O4" s="77" t="s">
        <v>24</v>
      </c>
      <c r="P4" s="1089">
        <f>README!H8</f>
        <v>41899</v>
      </c>
      <c r="Q4" s="1089"/>
      <c r="R4" s="460"/>
      <c r="S4" s="460"/>
      <c r="T4" s="911"/>
      <c r="U4" s="911"/>
      <c r="V4" s="911"/>
      <c r="W4" s="911"/>
      <c r="X4" s="911"/>
      <c r="Y4" s="911"/>
    </row>
    <row r="5" spans="1:25" ht="15" customHeight="1">
      <c r="A5" s="21"/>
      <c r="B5" s="21"/>
      <c r="C5" s="21"/>
      <c r="D5" s="21"/>
      <c r="E5" s="21"/>
      <c r="F5" s="76"/>
      <c r="G5" s="21"/>
      <c r="H5" s="21"/>
      <c r="I5" s="21"/>
      <c r="J5" s="99"/>
      <c r="K5" s="21"/>
      <c r="L5" s="21"/>
      <c r="M5" s="21"/>
      <c r="N5" s="21"/>
      <c r="O5" s="77" t="s">
        <v>15</v>
      </c>
      <c r="P5" s="1089">
        <f>README!H9</f>
        <v>42394</v>
      </c>
      <c r="Q5" s="1089"/>
      <c r="R5" s="460"/>
      <c r="S5" s="460"/>
      <c r="T5" s="911"/>
      <c r="U5" s="911"/>
      <c r="V5" s="911"/>
      <c r="W5" s="911"/>
      <c r="X5" s="911"/>
      <c r="Y5" s="911"/>
    </row>
    <row r="6" spans="1:25" ht="13.5" customHeight="1">
      <c r="A6" s="21"/>
      <c r="B6" s="21"/>
      <c r="C6" s="21"/>
      <c r="D6" s="21"/>
      <c r="E6" s="21"/>
      <c r="F6" s="76"/>
      <c r="G6" s="21"/>
      <c r="H6" s="21"/>
      <c r="I6" s="21"/>
      <c r="J6" s="21"/>
      <c r="K6" s="21"/>
      <c r="L6" s="21"/>
      <c r="M6" s="21"/>
      <c r="N6" s="21"/>
      <c r="O6" s="77" t="s">
        <v>16</v>
      </c>
      <c r="P6" s="78"/>
      <c r="Q6" s="79" t="str">
        <f>README!I10</f>
        <v>Core Group</v>
      </c>
      <c r="R6" s="79"/>
      <c r="S6" s="79"/>
      <c r="T6" s="79"/>
      <c r="U6" s="79"/>
      <c r="V6" s="79"/>
      <c r="W6" s="79"/>
      <c r="X6" s="79"/>
      <c r="Y6" s="79"/>
    </row>
    <row r="7" spans="1:25" ht="14.25" customHeight="1">
      <c r="A7" s="80" t="s">
        <v>98</v>
      </c>
      <c r="B7" s="21"/>
      <c r="C7" s="21"/>
      <c r="D7" s="21"/>
      <c r="E7" s="21"/>
      <c r="F7" s="76"/>
      <c r="G7" s="21"/>
      <c r="H7" s="21"/>
      <c r="I7" s="21"/>
      <c r="J7" s="21"/>
      <c r="K7" s="21"/>
      <c r="L7" s="21"/>
      <c r="M7" s="21"/>
      <c r="N7" s="21"/>
      <c r="O7" s="21"/>
      <c r="P7" s="21"/>
      <c r="Q7" s="21"/>
      <c r="R7" s="21"/>
      <c r="S7" s="21"/>
      <c r="T7" s="21"/>
      <c r="U7" s="21"/>
      <c r="V7" s="21"/>
      <c r="W7" s="21"/>
      <c r="X7" s="21"/>
      <c r="Y7" s="21"/>
    </row>
    <row r="8" spans="1:26" ht="14.25" customHeight="1">
      <c r="A8" s="81" t="s">
        <v>0</v>
      </c>
      <c r="B8" s="82">
        <v>2005</v>
      </c>
      <c r="C8" s="82">
        <v>2006</v>
      </c>
      <c r="D8" s="82">
        <v>2007</v>
      </c>
      <c r="E8" s="82">
        <v>2008</v>
      </c>
      <c r="F8" s="82">
        <v>2009</v>
      </c>
      <c r="G8" s="82">
        <v>2010</v>
      </c>
      <c r="H8" s="82">
        <v>2011</v>
      </c>
      <c r="I8" s="82">
        <v>2012</v>
      </c>
      <c r="J8" s="82">
        <v>2013</v>
      </c>
      <c r="K8" s="82">
        <v>2014</v>
      </c>
      <c r="L8" s="127">
        <v>2015</v>
      </c>
      <c r="M8" s="82">
        <v>2016</v>
      </c>
      <c r="N8" s="82">
        <v>2017</v>
      </c>
      <c r="O8" s="82">
        <v>2018</v>
      </c>
      <c r="P8" s="82">
        <v>2019</v>
      </c>
      <c r="Q8" s="82">
        <v>2020</v>
      </c>
      <c r="R8" s="82">
        <v>2021</v>
      </c>
      <c r="S8" s="82">
        <v>2022</v>
      </c>
      <c r="T8" s="82">
        <v>2023</v>
      </c>
      <c r="U8" s="82">
        <v>2024</v>
      </c>
      <c r="V8" s="82">
        <v>2025</v>
      </c>
      <c r="W8" s="82">
        <v>2026</v>
      </c>
      <c r="X8" s="82">
        <v>2027</v>
      </c>
      <c r="Y8" s="82">
        <v>2028</v>
      </c>
      <c r="Z8" s="117" t="s">
        <v>77</v>
      </c>
    </row>
    <row r="9" spans="1:26" ht="15" customHeight="1">
      <c r="A9" s="83" t="s">
        <v>1</v>
      </c>
      <c r="B9" s="84">
        <v>5844</v>
      </c>
      <c r="C9" s="85">
        <v>5811</v>
      </c>
      <c r="D9" s="85">
        <v>5744</v>
      </c>
      <c r="E9" s="85">
        <v>5647</v>
      </c>
      <c r="F9" s="85">
        <v>5552</v>
      </c>
      <c r="G9" s="85">
        <v>5502</v>
      </c>
      <c r="H9" s="85">
        <v>5539</v>
      </c>
      <c r="I9" s="85">
        <v>5584</v>
      </c>
      <c r="J9" s="85">
        <v>5646</v>
      </c>
      <c r="K9" s="101">
        <v>5714</v>
      </c>
      <c r="L9" s="86">
        <v>5775</v>
      </c>
      <c r="M9" s="86">
        <v>5849</v>
      </c>
      <c r="N9" s="86">
        <v>5891</v>
      </c>
      <c r="O9" s="86">
        <v>5909</v>
      </c>
      <c r="P9" s="86">
        <v>5919</v>
      </c>
      <c r="Q9" s="86">
        <v>5934</v>
      </c>
      <c r="R9" s="86">
        <v>5944</v>
      </c>
      <c r="S9" s="86">
        <v>5960</v>
      </c>
      <c r="T9" s="86">
        <v>5982</v>
      </c>
      <c r="U9" s="86">
        <v>6002</v>
      </c>
      <c r="V9" s="86">
        <v>6017</v>
      </c>
      <c r="W9" s="86">
        <v>6035</v>
      </c>
      <c r="X9" s="86">
        <v>6050</v>
      </c>
      <c r="Y9" s="87">
        <v>6062</v>
      </c>
      <c r="Z9" s="1090" t="s">
        <v>590</v>
      </c>
    </row>
    <row r="10" spans="1:26" ht="15">
      <c r="A10" s="88" t="s">
        <v>2</v>
      </c>
      <c r="B10" s="89">
        <v>5443</v>
      </c>
      <c r="C10" s="90">
        <v>5469</v>
      </c>
      <c r="D10" s="90">
        <v>5479</v>
      </c>
      <c r="E10" s="90">
        <v>5470</v>
      </c>
      <c r="F10" s="90">
        <v>5436</v>
      </c>
      <c r="G10" s="90">
        <v>5374</v>
      </c>
      <c r="H10" s="90">
        <v>5387</v>
      </c>
      <c r="I10" s="90">
        <v>5402</v>
      </c>
      <c r="J10" s="90">
        <v>5417</v>
      </c>
      <c r="K10" s="102">
        <v>5435</v>
      </c>
      <c r="L10" s="91">
        <v>5457</v>
      </c>
      <c r="M10" s="91">
        <v>5492</v>
      </c>
      <c r="N10" s="91">
        <v>5543</v>
      </c>
      <c r="O10" s="91">
        <v>5607</v>
      </c>
      <c r="P10" s="91">
        <v>5675</v>
      </c>
      <c r="Q10" s="91">
        <v>5733</v>
      </c>
      <c r="R10" s="91">
        <v>5786</v>
      </c>
      <c r="S10" s="91">
        <v>5828</v>
      </c>
      <c r="T10" s="91">
        <v>5857</v>
      </c>
      <c r="U10" s="91">
        <v>5878</v>
      </c>
      <c r="V10" s="91">
        <v>5896</v>
      </c>
      <c r="W10" s="91">
        <v>5921</v>
      </c>
      <c r="X10" s="91">
        <v>5942</v>
      </c>
      <c r="Y10" s="92">
        <v>5959</v>
      </c>
      <c r="Z10" s="1088"/>
    </row>
    <row r="11" spans="1:26" ht="15">
      <c r="A11" s="88" t="s">
        <v>3</v>
      </c>
      <c r="B11" s="89">
        <v>5067</v>
      </c>
      <c r="C11" s="90">
        <v>5117</v>
      </c>
      <c r="D11" s="90">
        <v>5174</v>
      </c>
      <c r="E11" s="90">
        <v>5226</v>
      </c>
      <c r="F11" s="90">
        <v>5264</v>
      </c>
      <c r="G11" s="90">
        <v>5283</v>
      </c>
      <c r="H11" s="90">
        <v>5305</v>
      </c>
      <c r="I11" s="90">
        <v>5322</v>
      </c>
      <c r="J11" s="90">
        <v>5333</v>
      </c>
      <c r="K11" s="102">
        <v>5342</v>
      </c>
      <c r="L11" s="91">
        <v>5351</v>
      </c>
      <c r="M11" s="91">
        <v>5356</v>
      </c>
      <c r="N11" s="91">
        <v>5366</v>
      </c>
      <c r="O11" s="91">
        <v>5380</v>
      </c>
      <c r="P11" s="91">
        <v>5403</v>
      </c>
      <c r="Q11" s="91">
        <v>5436</v>
      </c>
      <c r="R11" s="91">
        <v>5480</v>
      </c>
      <c r="S11" s="91">
        <v>5535</v>
      </c>
      <c r="T11" s="91">
        <v>5598</v>
      </c>
      <c r="U11" s="91">
        <v>5660</v>
      </c>
      <c r="V11" s="91">
        <v>5714</v>
      </c>
      <c r="W11" s="91">
        <v>5758</v>
      </c>
      <c r="X11" s="91">
        <v>5795</v>
      </c>
      <c r="Y11" s="92">
        <v>5826</v>
      </c>
      <c r="Z11" s="1088"/>
    </row>
    <row r="12" spans="1:26" ht="15">
      <c r="A12" s="88" t="s">
        <v>4</v>
      </c>
      <c r="B12" s="89">
        <v>4662</v>
      </c>
      <c r="C12" s="90">
        <v>4682</v>
      </c>
      <c r="D12" s="90">
        <v>4719</v>
      </c>
      <c r="E12" s="90">
        <v>4785</v>
      </c>
      <c r="F12" s="90">
        <v>4873</v>
      </c>
      <c r="G12" s="90">
        <v>4967</v>
      </c>
      <c r="H12" s="90">
        <v>5048</v>
      </c>
      <c r="I12" s="90">
        <v>5110</v>
      </c>
      <c r="J12" s="90">
        <v>5155</v>
      </c>
      <c r="K12" s="102">
        <v>5192</v>
      </c>
      <c r="L12" s="91">
        <v>5224</v>
      </c>
      <c r="M12" s="91">
        <v>5244</v>
      </c>
      <c r="N12" s="91">
        <v>5260</v>
      </c>
      <c r="O12" s="91">
        <v>5274</v>
      </c>
      <c r="P12" s="91">
        <v>5286</v>
      </c>
      <c r="Q12" s="91">
        <v>5299</v>
      </c>
      <c r="R12" s="91">
        <v>5311</v>
      </c>
      <c r="S12" s="91">
        <v>5321</v>
      </c>
      <c r="T12" s="91">
        <v>5336</v>
      </c>
      <c r="U12" s="91">
        <v>5359</v>
      </c>
      <c r="V12" s="91">
        <v>5395</v>
      </c>
      <c r="W12" s="91">
        <v>5439</v>
      </c>
      <c r="X12" s="91">
        <v>5495</v>
      </c>
      <c r="Y12" s="92">
        <v>5558</v>
      </c>
      <c r="Z12" s="1088"/>
    </row>
    <row r="13" spans="1:26" ht="15">
      <c r="A13" s="88" t="s">
        <v>5</v>
      </c>
      <c r="B13" s="89">
        <v>4039</v>
      </c>
      <c r="C13" s="90">
        <v>4092</v>
      </c>
      <c r="D13" s="90">
        <v>4140</v>
      </c>
      <c r="E13" s="90">
        <v>4183</v>
      </c>
      <c r="F13" s="90">
        <v>4224</v>
      </c>
      <c r="G13" s="90">
        <v>4273</v>
      </c>
      <c r="H13" s="90">
        <v>4389</v>
      </c>
      <c r="I13" s="90">
        <v>4516</v>
      </c>
      <c r="J13" s="90">
        <v>4644</v>
      </c>
      <c r="K13" s="102">
        <v>4762</v>
      </c>
      <c r="L13" s="91">
        <v>4861</v>
      </c>
      <c r="M13" s="91">
        <v>4943</v>
      </c>
      <c r="N13" s="91">
        <v>5007</v>
      </c>
      <c r="O13" s="91">
        <v>5057</v>
      </c>
      <c r="P13" s="91">
        <v>5096</v>
      </c>
      <c r="Q13" s="91">
        <v>5129</v>
      </c>
      <c r="R13" s="91">
        <v>5159</v>
      </c>
      <c r="S13" s="91">
        <v>5181</v>
      </c>
      <c r="T13" s="91">
        <v>5197</v>
      </c>
      <c r="U13" s="91">
        <v>5211</v>
      </c>
      <c r="V13" s="91">
        <v>5225</v>
      </c>
      <c r="W13" s="91">
        <v>5238</v>
      </c>
      <c r="X13" s="91">
        <v>5250</v>
      </c>
      <c r="Y13" s="92">
        <v>5265</v>
      </c>
      <c r="Z13" s="1088"/>
    </row>
    <row r="14" spans="1:26" ht="15">
      <c r="A14" s="88" t="s">
        <v>6</v>
      </c>
      <c r="B14" s="89">
        <v>3499</v>
      </c>
      <c r="C14" s="90">
        <v>3580</v>
      </c>
      <c r="D14" s="90">
        <v>3646</v>
      </c>
      <c r="E14" s="90">
        <v>3696</v>
      </c>
      <c r="F14" s="90">
        <v>3733</v>
      </c>
      <c r="G14" s="90">
        <v>3761</v>
      </c>
      <c r="H14" s="90">
        <v>3823</v>
      </c>
      <c r="I14" s="90">
        <v>3892</v>
      </c>
      <c r="J14" s="90">
        <v>3970</v>
      </c>
      <c r="K14" s="102">
        <v>4058</v>
      </c>
      <c r="L14" s="91">
        <v>4158</v>
      </c>
      <c r="M14" s="91">
        <v>4272</v>
      </c>
      <c r="N14" s="91">
        <v>4400</v>
      </c>
      <c r="O14" s="91">
        <v>4531</v>
      </c>
      <c r="P14" s="91">
        <v>4652</v>
      </c>
      <c r="Q14" s="91">
        <v>4752</v>
      </c>
      <c r="R14" s="91">
        <v>4841</v>
      </c>
      <c r="S14" s="91">
        <v>4910</v>
      </c>
      <c r="T14" s="91">
        <v>4962</v>
      </c>
      <c r="U14" s="91">
        <v>5003</v>
      </c>
      <c r="V14" s="91">
        <v>5038</v>
      </c>
      <c r="W14" s="91">
        <v>5069</v>
      </c>
      <c r="X14" s="91">
        <v>5092</v>
      </c>
      <c r="Y14" s="92">
        <v>5110</v>
      </c>
      <c r="Z14" s="1088"/>
    </row>
    <row r="15" spans="1:26" ht="15">
      <c r="A15" s="88" t="s">
        <v>7</v>
      </c>
      <c r="B15" s="89">
        <v>3025</v>
      </c>
      <c r="C15" s="90">
        <v>3114</v>
      </c>
      <c r="D15" s="90">
        <v>3207</v>
      </c>
      <c r="E15" s="90">
        <v>3303</v>
      </c>
      <c r="F15" s="90">
        <v>3393</v>
      </c>
      <c r="G15" s="90">
        <v>3465</v>
      </c>
      <c r="H15" s="90">
        <v>3508</v>
      </c>
      <c r="I15" s="90">
        <v>3543</v>
      </c>
      <c r="J15" s="90">
        <v>3573</v>
      </c>
      <c r="K15" s="102">
        <v>3609</v>
      </c>
      <c r="L15" s="91">
        <v>3655</v>
      </c>
      <c r="M15" s="91">
        <v>3714</v>
      </c>
      <c r="N15" s="91">
        <v>3783</v>
      </c>
      <c r="O15" s="91">
        <v>3863</v>
      </c>
      <c r="P15" s="91">
        <v>3955</v>
      </c>
      <c r="Q15" s="91">
        <v>4057</v>
      </c>
      <c r="R15" s="91">
        <v>4175</v>
      </c>
      <c r="S15" s="91">
        <v>4304</v>
      </c>
      <c r="T15" s="91">
        <v>4436</v>
      </c>
      <c r="U15" s="91">
        <v>4558</v>
      </c>
      <c r="V15" s="91">
        <v>4661</v>
      </c>
      <c r="W15" s="91">
        <v>4748</v>
      </c>
      <c r="X15" s="91">
        <v>4817</v>
      </c>
      <c r="Y15" s="92">
        <v>4869</v>
      </c>
      <c r="Z15" s="1088"/>
    </row>
    <row r="16" spans="1:26" ht="15">
      <c r="A16" s="88" t="s">
        <v>8</v>
      </c>
      <c r="B16" s="89">
        <v>2666</v>
      </c>
      <c r="C16" s="90">
        <v>2756</v>
      </c>
      <c r="D16" s="90">
        <v>2843</v>
      </c>
      <c r="E16" s="90">
        <v>2925</v>
      </c>
      <c r="F16" s="90">
        <v>3005</v>
      </c>
      <c r="G16" s="90">
        <v>3085</v>
      </c>
      <c r="H16" s="90">
        <v>3136</v>
      </c>
      <c r="I16" s="90">
        <v>3196</v>
      </c>
      <c r="J16" s="90">
        <v>3259</v>
      </c>
      <c r="K16" s="102">
        <v>3316</v>
      </c>
      <c r="L16" s="91">
        <v>3364</v>
      </c>
      <c r="M16" s="91">
        <v>3404</v>
      </c>
      <c r="N16" s="91">
        <v>3439</v>
      </c>
      <c r="O16" s="91">
        <v>3472</v>
      </c>
      <c r="P16" s="91">
        <v>3511</v>
      </c>
      <c r="Q16" s="91">
        <v>3560</v>
      </c>
      <c r="R16" s="91">
        <v>3622</v>
      </c>
      <c r="S16" s="91">
        <v>3692</v>
      </c>
      <c r="T16" s="91">
        <v>3772</v>
      </c>
      <c r="U16" s="91">
        <v>3864</v>
      </c>
      <c r="V16" s="91">
        <v>3968</v>
      </c>
      <c r="W16" s="91">
        <v>4084</v>
      </c>
      <c r="X16" s="91">
        <v>4212</v>
      </c>
      <c r="Y16" s="92">
        <v>4343</v>
      </c>
      <c r="Z16" s="1088"/>
    </row>
    <row r="17" spans="1:26" ht="15">
      <c r="A17" s="88" t="s">
        <v>9</v>
      </c>
      <c r="B17" s="89">
        <v>2331</v>
      </c>
      <c r="C17" s="90">
        <v>2410</v>
      </c>
      <c r="D17" s="90">
        <v>2499</v>
      </c>
      <c r="E17" s="90">
        <v>2598</v>
      </c>
      <c r="F17" s="90">
        <v>2703</v>
      </c>
      <c r="G17" s="90">
        <v>2804</v>
      </c>
      <c r="H17" s="90">
        <v>2846</v>
      </c>
      <c r="I17" s="90">
        <v>2880</v>
      </c>
      <c r="J17" s="90">
        <v>2909</v>
      </c>
      <c r="K17" s="102">
        <v>2941</v>
      </c>
      <c r="L17" s="91">
        <v>2983</v>
      </c>
      <c r="M17" s="91">
        <v>3030</v>
      </c>
      <c r="N17" s="91">
        <v>3089</v>
      </c>
      <c r="O17" s="91">
        <v>3153</v>
      </c>
      <c r="P17" s="91">
        <v>3213</v>
      </c>
      <c r="Q17" s="91">
        <v>3263</v>
      </c>
      <c r="R17" s="91">
        <v>3305</v>
      </c>
      <c r="S17" s="91">
        <v>3340</v>
      </c>
      <c r="T17" s="91">
        <v>3373</v>
      </c>
      <c r="U17" s="91">
        <v>3414</v>
      </c>
      <c r="V17" s="91">
        <v>3465</v>
      </c>
      <c r="W17" s="91">
        <v>3525</v>
      </c>
      <c r="X17" s="91">
        <v>3594</v>
      </c>
      <c r="Y17" s="92">
        <v>3674</v>
      </c>
      <c r="Z17" s="1088"/>
    </row>
    <row r="18" spans="1:26" ht="15">
      <c r="A18" s="88" t="s">
        <v>10</v>
      </c>
      <c r="B18" s="89">
        <v>1972</v>
      </c>
      <c r="C18" s="90">
        <v>2041</v>
      </c>
      <c r="D18" s="90">
        <v>2120</v>
      </c>
      <c r="E18" s="90">
        <v>2205</v>
      </c>
      <c r="F18" s="90">
        <v>2294</v>
      </c>
      <c r="G18" s="90">
        <v>2388</v>
      </c>
      <c r="H18" s="90">
        <v>2447</v>
      </c>
      <c r="I18" s="90">
        <v>2511</v>
      </c>
      <c r="J18" s="90">
        <v>2575</v>
      </c>
      <c r="K18" s="102">
        <v>2634</v>
      </c>
      <c r="L18" s="91">
        <v>2685</v>
      </c>
      <c r="M18" s="91">
        <v>2723</v>
      </c>
      <c r="N18" s="91">
        <v>2754</v>
      </c>
      <c r="O18" s="91">
        <v>2785</v>
      </c>
      <c r="P18" s="91">
        <v>2820</v>
      </c>
      <c r="Q18" s="91">
        <v>2865</v>
      </c>
      <c r="R18" s="91">
        <v>2912</v>
      </c>
      <c r="S18" s="91">
        <v>2970</v>
      </c>
      <c r="T18" s="91">
        <v>3032</v>
      </c>
      <c r="U18" s="91">
        <v>3092</v>
      </c>
      <c r="V18" s="91">
        <v>3144</v>
      </c>
      <c r="W18" s="91">
        <v>3184</v>
      </c>
      <c r="X18" s="91">
        <v>3217</v>
      </c>
      <c r="Y18" s="92">
        <v>3251</v>
      </c>
      <c r="Z18" s="1088"/>
    </row>
    <row r="19" spans="1:26" ht="15">
      <c r="A19" s="88" t="s">
        <v>11</v>
      </c>
      <c r="B19" s="89">
        <v>1620</v>
      </c>
      <c r="C19" s="90">
        <v>1678</v>
      </c>
      <c r="D19" s="90">
        <v>1735</v>
      </c>
      <c r="E19" s="90">
        <v>1800</v>
      </c>
      <c r="F19" s="90">
        <v>1880</v>
      </c>
      <c r="G19" s="90">
        <v>1969</v>
      </c>
      <c r="H19" s="90">
        <v>2026</v>
      </c>
      <c r="I19" s="90">
        <v>2079</v>
      </c>
      <c r="J19" s="90">
        <v>2130</v>
      </c>
      <c r="K19" s="102">
        <v>2184</v>
      </c>
      <c r="L19" s="91">
        <v>2242</v>
      </c>
      <c r="M19" s="91">
        <v>2297</v>
      </c>
      <c r="N19" s="91">
        <v>2357</v>
      </c>
      <c r="O19" s="91">
        <v>2420</v>
      </c>
      <c r="P19" s="91">
        <v>2478</v>
      </c>
      <c r="Q19" s="91">
        <v>2530</v>
      </c>
      <c r="R19" s="91">
        <v>2568</v>
      </c>
      <c r="S19" s="91">
        <v>2599</v>
      </c>
      <c r="T19" s="91">
        <v>2629</v>
      </c>
      <c r="U19" s="91">
        <v>2664</v>
      </c>
      <c r="V19" s="91">
        <v>2709</v>
      </c>
      <c r="W19" s="91">
        <v>2754</v>
      </c>
      <c r="X19" s="91">
        <v>2810</v>
      </c>
      <c r="Y19" s="92">
        <v>2871</v>
      </c>
      <c r="Z19" s="1088"/>
    </row>
    <row r="20" spans="1:26" ht="15">
      <c r="A20" s="88" t="s">
        <v>12</v>
      </c>
      <c r="B20" s="89">
        <v>1084</v>
      </c>
      <c r="C20" s="90">
        <v>1171</v>
      </c>
      <c r="D20" s="90">
        <v>1264</v>
      </c>
      <c r="E20" s="90">
        <v>1348</v>
      </c>
      <c r="F20" s="90">
        <v>1421</v>
      </c>
      <c r="G20" s="90">
        <v>1486</v>
      </c>
      <c r="H20" s="90">
        <v>1545</v>
      </c>
      <c r="I20" s="90">
        <v>1608</v>
      </c>
      <c r="J20" s="90">
        <v>1673</v>
      </c>
      <c r="K20" s="102">
        <v>1737</v>
      </c>
      <c r="L20" s="91">
        <v>1798</v>
      </c>
      <c r="M20" s="91">
        <v>1849</v>
      </c>
      <c r="N20" s="91">
        <v>1898</v>
      </c>
      <c r="O20" s="91">
        <v>1948</v>
      </c>
      <c r="P20" s="91">
        <v>2000</v>
      </c>
      <c r="Q20" s="91">
        <v>2056</v>
      </c>
      <c r="R20" s="91">
        <v>2109</v>
      </c>
      <c r="S20" s="91">
        <v>2166</v>
      </c>
      <c r="T20" s="91">
        <v>2225</v>
      </c>
      <c r="U20" s="91">
        <v>2280</v>
      </c>
      <c r="V20" s="91">
        <v>2330</v>
      </c>
      <c r="W20" s="91">
        <v>2365</v>
      </c>
      <c r="X20" s="91">
        <v>2394</v>
      </c>
      <c r="Y20" s="92">
        <v>2423</v>
      </c>
      <c r="Z20" s="1088"/>
    </row>
    <row r="21" spans="1:26" ht="15">
      <c r="A21" s="88" t="s">
        <v>13</v>
      </c>
      <c r="B21" s="89">
        <v>795</v>
      </c>
      <c r="C21" s="90">
        <v>823</v>
      </c>
      <c r="D21" s="90">
        <v>861</v>
      </c>
      <c r="E21" s="90">
        <v>917</v>
      </c>
      <c r="F21" s="90">
        <v>991</v>
      </c>
      <c r="G21" s="90">
        <v>1071</v>
      </c>
      <c r="H21" s="90">
        <v>1116</v>
      </c>
      <c r="I21" s="90">
        <v>1159</v>
      </c>
      <c r="J21" s="90">
        <v>1203</v>
      </c>
      <c r="K21" s="102">
        <v>1250</v>
      </c>
      <c r="L21" s="91">
        <v>1304</v>
      </c>
      <c r="M21" s="91">
        <v>1355</v>
      </c>
      <c r="N21" s="91">
        <v>1411</v>
      </c>
      <c r="O21" s="91">
        <v>1470</v>
      </c>
      <c r="P21" s="91">
        <v>1529</v>
      </c>
      <c r="Q21" s="91">
        <v>1586</v>
      </c>
      <c r="R21" s="91">
        <v>1632</v>
      </c>
      <c r="S21" s="91">
        <v>1676</v>
      </c>
      <c r="T21" s="91">
        <v>1721</v>
      </c>
      <c r="U21" s="91">
        <v>1769</v>
      </c>
      <c r="V21" s="91">
        <v>1822</v>
      </c>
      <c r="W21" s="91">
        <v>1869</v>
      </c>
      <c r="X21" s="91">
        <v>1921</v>
      </c>
      <c r="Y21" s="92">
        <v>1975</v>
      </c>
      <c r="Z21" s="1088"/>
    </row>
    <row r="22" spans="1:26" ht="15">
      <c r="A22" s="88" t="s">
        <v>105</v>
      </c>
      <c r="B22" s="89">
        <v>555</v>
      </c>
      <c r="C22" s="90">
        <v>583</v>
      </c>
      <c r="D22" s="90">
        <v>610</v>
      </c>
      <c r="E22" s="90">
        <v>633</v>
      </c>
      <c r="F22" s="90">
        <v>654</v>
      </c>
      <c r="G22" s="90">
        <v>684</v>
      </c>
      <c r="H22" s="90">
        <v>713</v>
      </c>
      <c r="I22" s="90">
        <v>752</v>
      </c>
      <c r="J22" s="90">
        <v>797</v>
      </c>
      <c r="K22" s="102">
        <v>841</v>
      </c>
      <c r="L22" s="91">
        <v>884</v>
      </c>
      <c r="M22" s="91">
        <v>922</v>
      </c>
      <c r="N22" s="91">
        <v>959</v>
      </c>
      <c r="O22" s="91">
        <v>996</v>
      </c>
      <c r="P22" s="91">
        <v>1037</v>
      </c>
      <c r="Q22" s="91">
        <v>1083</v>
      </c>
      <c r="R22" s="463">
        <v>1129</v>
      </c>
      <c r="S22" s="463">
        <v>1178</v>
      </c>
      <c r="T22" s="463">
        <v>1228</v>
      </c>
      <c r="U22" s="463">
        <v>1278</v>
      </c>
      <c r="V22" s="463">
        <v>1326</v>
      </c>
      <c r="W22" s="463">
        <v>1367</v>
      </c>
      <c r="X22" s="463">
        <v>1405</v>
      </c>
      <c r="Y22" s="464">
        <v>1444</v>
      </c>
      <c r="Z22" s="1088"/>
    </row>
    <row r="23" spans="1:26" ht="15">
      <c r="A23" s="88" t="s">
        <v>106</v>
      </c>
      <c r="B23" s="89">
        <v>371</v>
      </c>
      <c r="C23" s="90">
        <v>391</v>
      </c>
      <c r="D23" s="90">
        <v>413</v>
      </c>
      <c r="E23" s="90">
        <v>439</v>
      </c>
      <c r="F23" s="90">
        <v>468</v>
      </c>
      <c r="G23" s="90">
        <v>495</v>
      </c>
      <c r="H23" s="90">
        <v>498</v>
      </c>
      <c r="I23" s="90">
        <v>497</v>
      </c>
      <c r="J23" s="90">
        <v>496</v>
      </c>
      <c r="K23" s="102">
        <v>503</v>
      </c>
      <c r="L23" s="91">
        <v>520</v>
      </c>
      <c r="M23" s="91">
        <v>544</v>
      </c>
      <c r="N23" s="91">
        <v>576</v>
      </c>
      <c r="O23" s="91">
        <v>610</v>
      </c>
      <c r="P23" s="91">
        <v>645</v>
      </c>
      <c r="Q23" s="91">
        <v>678</v>
      </c>
      <c r="R23" s="91">
        <v>709</v>
      </c>
      <c r="S23" s="91">
        <v>738</v>
      </c>
      <c r="T23" s="91">
        <v>768</v>
      </c>
      <c r="U23" s="91">
        <v>801</v>
      </c>
      <c r="V23" s="91">
        <v>837</v>
      </c>
      <c r="W23" s="91">
        <v>874</v>
      </c>
      <c r="X23" s="91">
        <v>914</v>
      </c>
      <c r="Y23" s="92">
        <v>954</v>
      </c>
      <c r="Z23" s="1088"/>
    </row>
    <row r="24" spans="1:26" ht="15">
      <c r="A24" s="88" t="s">
        <v>107</v>
      </c>
      <c r="B24" s="89">
        <v>188</v>
      </c>
      <c r="C24" s="90">
        <v>204</v>
      </c>
      <c r="D24" s="90">
        <v>224</v>
      </c>
      <c r="E24" s="90">
        <v>245</v>
      </c>
      <c r="F24" s="90">
        <v>266</v>
      </c>
      <c r="G24" s="90">
        <v>288</v>
      </c>
      <c r="H24" s="90">
        <v>300</v>
      </c>
      <c r="I24" s="90">
        <v>313</v>
      </c>
      <c r="J24" s="90">
        <v>323</v>
      </c>
      <c r="K24" s="102">
        <v>331</v>
      </c>
      <c r="L24" s="91">
        <v>334</v>
      </c>
      <c r="M24" s="91">
        <v>336</v>
      </c>
      <c r="N24" s="91">
        <v>336</v>
      </c>
      <c r="O24" s="91">
        <v>336</v>
      </c>
      <c r="P24" s="91">
        <v>342</v>
      </c>
      <c r="Q24" s="91">
        <v>354</v>
      </c>
      <c r="R24" s="91">
        <v>374</v>
      </c>
      <c r="S24" s="91">
        <v>396</v>
      </c>
      <c r="T24" s="91">
        <v>421</v>
      </c>
      <c r="U24" s="91">
        <v>444</v>
      </c>
      <c r="V24" s="91">
        <v>466</v>
      </c>
      <c r="W24" s="91">
        <v>489</v>
      </c>
      <c r="X24" s="91">
        <v>510</v>
      </c>
      <c r="Y24" s="92">
        <v>532</v>
      </c>
      <c r="Z24" s="1088"/>
    </row>
    <row r="25" spans="1:26" ht="15">
      <c r="A25" s="93" t="s">
        <v>108</v>
      </c>
      <c r="B25" s="94">
        <v>133</v>
      </c>
      <c r="C25" s="95">
        <v>140</v>
      </c>
      <c r="D25" s="95">
        <v>146</v>
      </c>
      <c r="E25" s="95">
        <v>152</v>
      </c>
      <c r="F25" s="95">
        <v>158</v>
      </c>
      <c r="G25" s="95">
        <v>164</v>
      </c>
      <c r="H25" s="95">
        <v>181</v>
      </c>
      <c r="I25" s="95">
        <v>196</v>
      </c>
      <c r="J25" s="95">
        <v>207</v>
      </c>
      <c r="K25" s="103">
        <v>213</v>
      </c>
      <c r="L25" s="96">
        <v>216</v>
      </c>
      <c r="M25" s="96">
        <v>234</v>
      </c>
      <c r="N25" s="96">
        <v>252</v>
      </c>
      <c r="O25" s="96">
        <v>262</v>
      </c>
      <c r="P25" s="96">
        <v>267</v>
      </c>
      <c r="Q25" s="91">
        <v>263</v>
      </c>
      <c r="R25" s="91">
        <v>277</v>
      </c>
      <c r="S25" s="91">
        <v>287</v>
      </c>
      <c r="T25" s="91">
        <v>293</v>
      </c>
      <c r="U25" s="91">
        <v>294</v>
      </c>
      <c r="V25" s="91">
        <v>294</v>
      </c>
      <c r="W25" s="91">
        <v>317</v>
      </c>
      <c r="X25" s="91">
        <v>339</v>
      </c>
      <c r="Y25" s="92">
        <v>355</v>
      </c>
      <c r="Z25" s="1088"/>
    </row>
    <row r="26" spans="1:26" ht="15">
      <c r="A26" s="97" t="s">
        <v>14</v>
      </c>
      <c r="B26" s="98">
        <f>SUM(B9:B25)</f>
        <v>43294</v>
      </c>
      <c r="C26" s="98">
        <f aca="true" t="shared" si="0" ref="C26:Q26">SUM(C9:C25)</f>
        <v>44062</v>
      </c>
      <c r="D26" s="98">
        <f t="shared" si="0"/>
        <v>44824</v>
      </c>
      <c r="E26" s="98">
        <f t="shared" si="0"/>
        <v>45572</v>
      </c>
      <c r="F26" s="98">
        <f t="shared" si="0"/>
        <v>46315</v>
      </c>
      <c r="G26" s="98">
        <f t="shared" si="0"/>
        <v>47059</v>
      </c>
      <c r="H26" s="98">
        <f t="shared" si="0"/>
        <v>47807</v>
      </c>
      <c r="I26" s="98">
        <f t="shared" si="0"/>
        <v>48560</v>
      </c>
      <c r="J26" s="98">
        <f t="shared" si="0"/>
        <v>49310</v>
      </c>
      <c r="K26" s="98">
        <f t="shared" si="0"/>
        <v>50062</v>
      </c>
      <c r="L26" s="465">
        <f t="shared" si="0"/>
        <v>50811</v>
      </c>
      <c r="M26" s="98">
        <f t="shared" si="0"/>
        <v>51564</v>
      </c>
      <c r="N26" s="98">
        <f t="shared" si="0"/>
        <v>52321</v>
      </c>
      <c r="O26" s="98">
        <f t="shared" si="0"/>
        <v>53073</v>
      </c>
      <c r="P26" s="98">
        <f t="shared" si="0"/>
        <v>53828</v>
      </c>
      <c r="Q26" s="98">
        <f t="shared" si="0"/>
        <v>54578</v>
      </c>
      <c r="R26" s="98">
        <f>SUM(R9:R25)</f>
        <v>55333</v>
      </c>
      <c r="S26" s="98">
        <f>SUM(S9:S25)</f>
        <v>56081</v>
      </c>
      <c r="T26" s="98">
        <f aca="true" t="shared" si="1" ref="T26:X26">SUM(T9:T25)</f>
        <v>56830</v>
      </c>
      <c r="U26" s="98">
        <f t="shared" si="1"/>
        <v>57571</v>
      </c>
      <c r="V26" s="98">
        <f t="shared" si="1"/>
        <v>58307</v>
      </c>
      <c r="W26" s="98">
        <f t="shared" si="1"/>
        <v>59036</v>
      </c>
      <c r="X26" s="98">
        <f t="shared" si="1"/>
        <v>59757</v>
      </c>
      <c r="Y26" s="98">
        <f>SUM(Y9:Y25)</f>
        <v>60471</v>
      </c>
      <c r="Z26" s="1088"/>
    </row>
    <row r="27" spans="1:25" ht="14.25" customHeight="1">
      <c r="A27" s="21"/>
      <c r="B27" s="21"/>
      <c r="C27" s="21"/>
      <c r="D27" s="21"/>
      <c r="E27" s="21"/>
      <c r="F27" s="76"/>
      <c r="G27" s="21"/>
      <c r="H27" s="21"/>
      <c r="I27" s="21"/>
      <c r="J27" s="21"/>
      <c r="K27" s="99"/>
      <c r="L27" s="21"/>
      <c r="M27" s="21"/>
      <c r="N27" s="21"/>
      <c r="O27" s="21"/>
      <c r="P27" s="21"/>
      <c r="Q27" s="21"/>
      <c r="R27" s="21"/>
      <c r="S27" s="21"/>
      <c r="T27" s="21"/>
      <c r="U27" s="21"/>
      <c r="V27" s="21"/>
      <c r="W27" s="21"/>
      <c r="X27" s="21"/>
      <c r="Y27" s="21"/>
    </row>
    <row r="28" spans="1:25" ht="14.25" customHeight="1">
      <c r="A28" s="57" t="s">
        <v>99</v>
      </c>
      <c r="B28" s="21"/>
      <c r="C28" s="21"/>
      <c r="D28" s="21"/>
      <c r="E28" s="99"/>
      <c r="F28" s="76"/>
      <c r="G28" s="21"/>
      <c r="H28" s="21"/>
      <c r="I28" s="21"/>
      <c r="J28" s="21"/>
      <c r="K28" s="21"/>
      <c r="L28" s="21"/>
      <c r="M28" s="21"/>
      <c r="N28" s="21"/>
      <c r="O28" s="21"/>
      <c r="P28" s="21"/>
      <c r="Q28" s="21"/>
      <c r="R28" s="21"/>
      <c r="S28" s="21"/>
      <c r="T28" s="21"/>
      <c r="U28" s="21"/>
      <c r="V28" s="21"/>
      <c r="W28" s="21"/>
      <c r="X28" s="21"/>
      <c r="Y28" s="21"/>
    </row>
    <row r="29" spans="1:25" ht="14.25" customHeight="1">
      <c r="A29" s="100" t="s">
        <v>0</v>
      </c>
      <c r="B29" s="82">
        <v>2005</v>
      </c>
      <c r="C29" s="82">
        <v>2006</v>
      </c>
      <c r="D29" s="82">
        <v>2007</v>
      </c>
      <c r="E29" s="82">
        <v>2008</v>
      </c>
      <c r="F29" s="82">
        <v>2009</v>
      </c>
      <c r="G29" s="82">
        <v>2010</v>
      </c>
      <c r="H29" s="82">
        <v>2011</v>
      </c>
      <c r="I29" s="82">
        <v>2012</v>
      </c>
      <c r="J29" s="82">
        <v>2013</v>
      </c>
      <c r="K29" s="82">
        <v>2014</v>
      </c>
      <c r="L29" s="127">
        <v>2015</v>
      </c>
      <c r="M29" s="82">
        <v>2016</v>
      </c>
      <c r="N29" s="82">
        <v>2017</v>
      </c>
      <c r="O29" s="82">
        <v>2018</v>
      </c>
      <c r="P29" s="82">
        <v>2019</v>
      </c>
      <c r="Q29" s="82">
        <v>2020</v>
      </c>
      <c r="R29" s="82">
        <v>2021</v>
      </c>
      <c r="S29" s="82">
        <v>2022</v>
      </c>
      <c r="T29" s="82">
        <v>2023</v>
      </c>
      <c r="U29" s="82">
        <v>2024</v>
      </c>
      <c r="V29" s="82">
        <v>2025</v>
      </c>
      <c r="W29" s="82">
        <v>2026</v>
      </c>
      <c r="X29" s="82">
        <v>2027</v>
      </c>
      <c r="Y29" s="82">
        <v>2028</v>
      </c>
    </row>
    <row r="30" spans="1:25" ht="14.25" customHeight="1">
      <c r="A30" s="83" t="s">
        <v>1</v>
      </c>
      <c r="B30" s="84">
        <v>5565</v>
      </c>
      <c r="C30" s="85">
        <v>5510</v>
      </c>
      <c r="D30" s="85">
        <v>5442</v>
      </c>
      <c r="E30" s="85">
        <v>5355</v>
      </c>
      <c r="F30" s="85">
        <v>5270</v>
      </c>
      <c r="G30" s="85">
        <v>5228</v>
      </c>
      <c r="H30" s="85">
        <v>5305</v>
      </c>
      <c r="I30" s="85">
        <v>5349</v>
      </c>
      <c r="J30" s="85">
        <v>5386</v>
      </c>
      <c r="K30" s="101">
        <v>5430</v>
      </c>
      <c r="L30" s="86">
        <v>5480</v>
      </c>
      <c r="M30" s="86">
        <v>5515</v>
      </c>
      <c r="N30" s="86">
        <v>5550</v>
      </c>
      <c r="O30" s="86">
        <v>5583</v>
      </c>
      <c r="P30" s="86">
        <v>5611</v>
      </c>
      <c r="Q30" s="86">
        <v>5634</v>
      </c>
      <c r="R30" s="86">
        <v>5654</v>
      </c>
      <c r="S30" s="86">
        <v>5672</v>
      </c>
      <c r="T30" s="86">
        <v>5688</v>
      </c>
      <c r="U30" s="86">
        <v>5702</v>
      </c>
      <c r="V30" s="86">
        <v>5715</v>
      </c>
      <c r="W30" s="86">
        <v>5730</v>
      </c>
      <c r="X30" s="86">
        <v>5744</v>
      </c>
      <c r="Y30" s="87">
        <v>5757</v>
      </c>
    </row>
    <row r="31" spans="1:25" ht="14.25" customHeight="1">
      <c r="A31" s="88" t="s">
        <v>2</v>
      </c>
      <c r="B31" s="89">
        <v>5197</v>
      </c>
      <c r="C31" s="90">
        <v>5199</v>
      </c>
      <c r="D31" s="90">
        <v>5167</v>
      </c>
      <c r="E31" s="90">
        <v>5108</v>
      </c>
      <c r="F31" s="90">
        <v>5028</v>
      </c>
      <c r="G31" s="90">
        <v>4934</v>
      </c>
      <c r="H31" s="90">
        <v>4945</v>
      </c>
      <c r="I31" s="90">
        <v>4986</v>
      </c>
      <c r="J31" s="90">
        <v>5052</v>
      </c>
      <c r="K31" s="102">
        <v>5127</v>
      </c>
      <c r="L31" s="91">
        <v>5195</v>
      </c>
      <c r="M31" s="91">
        <v>5257</v>
      </c>
      <c r="N31" s="91">
        <v>5314</v>
      </c>
      <c r="O31" s="91">
        <v>5364</v>
      </c>
      <c r="P31" s="91">
        <v>5408</v>
      </c>
      <c r="Q31" s="91">
        <v>5450</v>
      </c>
      <c r="R31" s="91">
        <v>5493</v>
      </c>
      <c r="S31" s="91">
        <v>5531</v>
      </c>
      <c r="T31" s="91">
        <v>5562</v>
      </c>
      <c r="U31" s="91">
        <v>5587</v>
      </c>
      <c r="V31" s="91">
        <v>5609</v>
      </c>
      <c r="W31" s="91">
        <v>5633</v>
      </c>
      <c r="X31" s="91">
        <v>5653</v>
      </c>
      <c r="Y31" s="92">
        <v>5669</v>
      </c>
    </row>
    <row r="32" spans="1:25" ht="14.25" customHeight="1">
      <c r="A32" s="88" t="s">
        <v>3</v>
      </c>
      <c r="B32" s="89">
        <v>4842</v>
      </c>
      <c r="C32" s="90">
        <v>4900</v>
      </c>
      <c r="D32" s="90">
        <v>4946</v>
      </c>
      <c r="E32" s="90">
        <v>4971</v>
      </c>
      <c r="F32" s="90">
        <v>4972</v>
      </c>
      <c r="G32" s="90">
        <v>4949</v>
      </c>
      <c r="H32" s="90">
        <v>4929</v>
      </c>
      <c r="I32" s="90">
        <v>4915</v>
      </c>
      <c r="J32" s="90">
        <v>4904</v>
      </c>
      <c r="K32" s="102">
        <v>4902</v>
      </c>
      <c r="L32" s="91">
        <v>4914</v>
      </c>
      <c r="M32" s="91">
        <v>4943</v>
      </c>
      <c r="N32" s="91">
        <v>4990</v>
      </c>
      <c r="O32" s="91">
        <v>5050</v>
      </c>
      <c r="P32" s="91">
        <v>5115</v>
      </c>
      <c r="Q32" s="91">
        <v>5177</v>
      </c>
      <c r="R32" s="91">
        <v>5234</v>
      </c>
      <c r="S32" s="91">
        <v>5289</v>
      </c>
      <c r="T32" s="91">
        <v>5341</v>
      </c>
      <c r="U32" s="91">
        <v>5390</v>
      </c>
      <c r="V32" s="91">
        <v>5435</v>
      </c>
      <c r="W32" s="91">
        <v>5475</v>
      </c>
      <c r="X32" s="91">
        <v>5511</v>
      </c>
      <c r="Y32" s="92">
        <v>5542</v>
      </c>
    </row>
    <row r="33" spans="1:25" ht="14.25" customHeight="1">
      <c r="A33" s="88" t="s">
        <v>4</v>
      </c>
      <c r="B33" s="89">
        <v>4470</v>
      </c>
      <c r="C33" s="90">
        <v>4493</v>
      </c>
      <c r="D33" s="90">
        <v>4532</v>
      </c>
      <c r="E33" s="90">
        <v>4603</v>
      </c>
      <c r="F33" s="90">
        <v>4701</v>
      </c>
      <c r="G33" s="90">
        <v>4802</v>
      </c>
      <c r="H33" s="90">
        <v>4854</v>
      </c>
      <c r="I33" s="90">
        <v>4887</v>
      </c>
      <c r="J33" s="90">
        <v>4900</v>
      </c>
      <c r="K33" s="102">
        <v>4902</v>
      </c>
      <c r="L33" s="91">
        <v>4900</v>
      </c>
      <c r="M33" s="91">
        <v>4890</v>
      </c>
      <c r="N33" s="91">
        <v>4874</v>
      </c>
      <c r="O33" s="91">
        <v>4859</v>
      </c>
      <c r="P33" s="91">
        <v>4856</v>
      </c>
      <c r="Q33" s="91">
        <v>4871</v>
      </c>
      <c r="R33" s="91">
        <v>4903</v>
      </c>
      <c r="S33" s="91">
        <v>4954</v>
      </c>
      <c r="T33" s="91">
        <v>5017</v>
      </c>
      <c r="U33" s="91">
        <v>5083</v>
      </c>
      <c r="V33" s="91">
        <v>5145</v>
      </c>
      <c r="W33" s="91">
        <v>5204</v>
      </c>
      <c r="X33" s="91">
        <v>5259</v>
      </c>
      <c r="Y33" s="92">
        <v>5310</v>
      </c>
    </row>
    <row r="34" spans="1:25" ht="14.25" customHeight="1">
      <c r="A34" s="88" t="s">
        <v>5</v>
      </c>
      <c r="B34" s="89">
        <v>3912</v>
      </c>
      <c r="C34" s="90">
        <v>3960</v>
      </c>
      <c r="D34" s="90">
        <v>3998</v>
      </c>
      <c r="E34" s="90">
        <v>4027</v>
      </c>
      <c r="F34" s="90">
        <v>4061</v>
      </c>
      <c r="G34" s="90">
        <v>4113</v>
      </c>
      <c r="H34" s="90">
        <v>4225</v>
      </c>
      <c r="I34" s="90">
        <v>4361</v>
      </c>
      <c r="J34" s="90">
        <v>4504</v>
      </c>
      <c r="K34" s="102">
        <v>4627</v>
      </c>
      <c r="L34" s="91">
        <v>4719</v>
      </c>
      <c r="M34" s="91">
        <v>4785</v>
      </c>
      <c r="N34" s="91">
        <v>4820</v>
      </c>
      <c r="O34" s="91">
        <v>4832</v>
      </c>
      <c r="P34" s="91">
        <v>4831</v>
      </c>
      <c r="Q34" s="91">
        <v>4827</v>
      </c>
      <c r="R34" s="91">
        <v>4824</v>
      </c>
      <c r="S34" s="91">
        <v>4813</v>
      </c>
      <c r="T34" s="91">
        <v>4803</v>
      </c>
      <c r="U34" s="91">
        <v>4803</v>
      </c>
      <c r="V34" s="91">
        <v>4820</v>
      </c>
      <c r="W34" s="91">
        <v>4854</v>
      </c>
      <c r="X34" s="91">
        <v>4906</v>
      </c>
      <c r="Y34" s="92">
        <v>4969</v>
      </c>
    </row>
    <row r="35" spans="1:25" ht="14.25" customHeight="1">
      <c r="A35" s="88" t="s">
        <v>6</v>
      </c>
      <c r="B35" s="89">
        <v>3429</v>
      </c>
      <c r="C35" s="90">
        <v>3495</v>
      </c>
      <c r="D35" s="90">
        <v>3546</v>
      </c>
      <c r="E35" s="90">
        <v>3586</v>
      </c>
      <c r="F35" s="90">
        <v>3622</v>
      </c>
      <c r="G35" s="90">
        <v>3655</v>
      </c>
      <c r="H35" s="90">
        <v>3709</v>
      </c>
      <c r="I35" s="90">
        <v>3773</v>
      </c>
      <c r="J35" s="90">
        <v>3845</v>
      </c>
      <c r="K35" s="102">
        <v>3930</v>
      </c>
      <c r="L35" s="91">
        <v>4031</v>
      </c>
      <c r="M35" s="91">
        <v>4152</v>
      </c>
      <c r="N35" s="91">
        <v>4289</v>
      </c>
      <c r="O35" s="91">
        <v>4430</v>
      </c>
      <c r="P35" s="91">
        <v>4552</v>
      </c>
      <c r="Q35" s="91">
        <v>4644</v>
      </c>
      <c r="R35" s="91">
        <v>4713</v>
      </c>
      <c r="S35" s="91">
        <v>4753</v>
      </c>
      <c r="T35" s="91">
        <v>4769</v>
      </c>
      <c r="U35" s="91">
        <v>4773</v>
      </c>
      <c r="V35" s="91">
        <v>4773</v>
      </c>
      <c r="W35" s="91">
        <v>4770</v>
      </c>
      <c r="X35" s="91">
        <v>4761</v>
      </c>
      <c r="Y35" s="92">
        <v>4751</v>
      </c>
    </row>
    <row r="36" spans="1:25" ht="14.25" customHeight="1">
      <c r="A36" s="88" t="s">
        <v>7</v>
      </c>
      <c r="B36" s="89">
        <v>2991</v>
      </c>
      <c r="C36" s="90">
        <v>3064</v>
      </c>
      <c r="D36" s="90">
        <v>3135</v>
      </c>
      <c r="E36" s="90">
        <v>3208</v>
      </c>
      <c r="F36" s="90">
        <v>3279</v>
      </c>
      <c r="G36" s="90">
        <v>3342</v>
      </c>
      <c r="H36" s="90">
        <v>3387</v>
      </c>
      <c r="I36" s="90">
        <v>3434</v>
      </c>
      <c r="J36" s="90">
        <v>3481</v>
      </c>
      <c r="K36" s="102">
        <v>3530</v>
      </c>
      <c r="L36" s="91">
        <v>3583</v>
      </c>
      <c r="M36" s="91">
        <v>3645</v>
      </c>
      <c r="N36" s="91">
        <v>3709</v>
      </c>
      <c r="O36" s="91">
        <v>3779</v>
      </c>
      <c r="P36" s="91">
        <v>3864</v>
      </c>
      <c r="Q36" s="91">
        <v>3966</v>
      </c>
      <c r="R36" s="91">
        <v>4088</v>
      </c>
      <c r="S36" s="91">
        <v>4227</v>
      </c>
      <c r="T36" s="91">
        <v>4371</v>
      </c>
      <c r="U36" s="91">
        <v>4497</v>
      </c>
      <c r="V36" s="91">
        <v>4592</v>
      </c>
      <c r="W36" s="91">
        <v>4662</v>
      </c>
      <c r="X36" s="91">
        <v>4701</v>
      </c>
      <c r="Y36" s="92">
        <v>4718</v>
      </c>
    </row>
    <row r="37" spans="1:25" ht="14.25" customHeight="1">
      <c r="A37" s="88" t="s">
        <v>8</v>
      </c>
      <c r="B37" s="89">
        <v>2658</v>
      </c>
      <c r="C37" s="90">
        <v>2733</v>
      </c>
      <c r="D37" s="90">
        <v>2802</v>
      </c>
      <c r="E37" s="90">
        <v>2864</v>
      </c>
      <c r="F37" s="90">
        <v>2925</v>
      </c>
      <c r="G37" s="90">
        <v>2991</v>
      </c>
      <c r="H37" s="90">
        <v>3036</v>
      </c>
      <c r="I37" s="90">
        <v>3095</v>
      </c>
      <c r="J37" s="90">
        <v>3160</v>
      </c>
      <c r="K37" s="102">
        <v>3222</v>
      </c>
      <c r="L37" s="91">
        <v>3277</v>
      </c>
      <c r="M37" s="91">
        <v>3329</v>
      </c>
      <c r="N37" s="91">
        <v>3376</v>
      </c>
      <c r="O37" s="91">
        <v>3421</v>
      </c>
      <c r="P37" s="91">
        <v>3469</v>
      </c>
      <c r="Q37" s="91">
        <v>3524</v>
      </c>
      <c r="R37" s="91">
        <v>3586</v>
      </c>
      <c r="S37" s="91">
        <v>3651</v>
      </c>
      <c r="T37" s="91">
        <v>3725</v>
      </c>
      <c r="U37" s="91">
        <v>3812</v>
      </c>
      <c r="V37" s="91">
        <v>3916</v>
      </c>
      <c r="W37" s="91">
        <v>4038</v>
      </c>
      <c r="X37" s="91">
        <v>4177</v>
      </c>
      <c r="Y37" s="92">
        <v>4320</v>
      </c>
    </row>
    <row r="38" spans="1:25" ht="14.25" customHeight="1">
      <c r="A38" s="88" t="s">
        <v>9</v>
      </c>
      <c r="B38" s="89">
        <v>2343</v>
      </c>
      <c r="C38" s="90">
        <v>2408</v>
      </c>
      <c r="D38" s="90">
        <v>2479</v>
      </c>
      <c r="E38" s="90">
        <v>2560</v>
      </c>
      <c r="F38" s="90">
        <v>2649</v>
      </c>
      <c r="G38" s="90">
        <v>2738</v>
      </c>
      <c r="H38" s="90">
        <v>2779</v>
      </c>
      <c r="I38" s="90">
        <v>2816</v>
      </c>
      <c r="J38" s="90">
        <v>2849</v>
      </c>
      <c r="K38" s="102">
        <v>2885</v>
      </c>
      <c r="L38" s="91">
        <v>2928</v>
      </c>
      <c r="M38" s="91">
        <v>2978</v>
      </c>
      <c r="N38" s="91">
        <v>3037</v>
      </c>
      <c r="O38" s="91">
        <v>3100</v>
      </c>
      <c r="P38" s="91">
        <v>3162</v>
      </c>
      <c r="Q38" s="91">
        <v>3217</v>
      </c>
      <c r="R38" s="91">
        <v>3269</v>
      </c>
      <c r="S38" s="91">
        <v>3317</v>
      </c>
      <c r="T38" s="91">
        <v>3364</v>
      </c>
      <c r="U38" s="91">
        <v>3414</v>
      </c>
      <c r="V38" s="91">
        <v>3471</v>
      </c>
      <c r="W38" s="91">
        <v>3533</v>
      </c>
      <c r="X38" s="91">
        <v>3599</v>
      </c>
      <c r="Y38" s="92">
        <v>3672</v>
      </c>
    </row>
    <row r="39" spans="1:25" ht="15">
      <c r="A39" s="88" t="s">
        <v>10</v>
      </c>
      <c r="B39" s="89">
        <v>2010</v>
      </c>
      <c r="C39" s="90">
        <v>2065</v>
      </c>
      <c r="D39" s="90">
        <v>2126</v>
      </c>
      <c r="E39" s="90">
        <v>2190</v>
      </c>
      <c r="F39" s="90">
        <v>2261</v>
      </c>
      <c r="G39" s="90">
        <v>2341</v>
      </c>
      <c r="H39" s="90">
        <v>2403</v>
      </c>
      <c r="I39" s="90">
        <v>2474</v>
      </c>
      <c r="J39" s="90">
        <v>2547</v>
      </c>
      <c r="K39" s="102">
        <v>2613</v>
      </c>
      <c r="L39" s="91">
        <v>2669</v>
      </c>
      <c r="M39" s="91">
        <v>2715</v>
      </c>
      <c r="N39" s="91">
        <v>2750</v>
      </c>
      <c r="O39" s="91">
        <v>2782</v>
      </c>
      <c r="P39" s="91">
        <v>2817</v>
      </c>
      <c r="Q39" s="91">
        <v>2861</v>
      </c>
      <c r="R39" s="91">
        <v>2911</v>
      </c>
      <c r="S39" s="91">
        <v>2970</v>
      </c>
      <c r="T39" s="91">
        <v>3034</v>
      </c>
      <c r="U39" s="91">
        <v>3097</v>
      </c>
      <c r="V39" s="91">
        <v>3154</v>
      </c>
      <c r="W39" s="91">
        <v>3205</v>
      </c>
      <c r="X39" s="91">
        <v>3253</v>
      </c>
      <c r="Y39" s="92">
        <v>3300</v>
      </c>
    </row>
    <row r="40" spans="1:25" ht="15">
      <c r="A40" s="88" t="s">
        <v>11</v>
      </c>
      <c r="B40" s="89">
        <v>1690</v>
      </c>
      <c r="C40" s="90">
        <v>1735</v>
      </c>
      <c r="D40" s="90">
        <v>1771</v>
      </c>
      <c r="E40" s="90">
        <v>1817</v>
      </c>
      <c r="F40" s="90">
        <v>1881</v>
      </c>
      <c r="G40" s="90">
        <v>1958</v>
      </c>
      <c r="H40" s="90">
        <v>2020</v>
      </c>
      <c r="I40" s="90">
        <v>2080</v>
      </c>
      <c r="J40" s="90">
        <v>2138</v>
      </c>
      <c r="K40" s="102">
        <v>2198</v>
      </c>
      <c r="L40" s="91">
        <v>2262</v>
      </c>
      <c r="M40" s="91">
        <v>2327</v>
      </c>
      <c r="N40" s="91">
        <v>2396</v>
      </c>
      <c r="O40" s="91">
        <v>2466</v>
      </c>
      <c r="P40" s="91">
        <v>2531</v>
      </c>
      <c r="Q40" s="91">
        <v>2587</v>
      </c>
      <c r="R40" s="91">
        <v>2631</v>
      </c>
      <c r="S40" s="91">
        <v>2668</v>
      </c>
      <c r="T40" s="91">
        <v>2700</v>
      </c>
      <c r="U40" s="91">
        <v>2737</v>
      </c>
      <c r="V40" s="91">
        <v>2782</v>
      </c>
      <c r="W40" s="91">
        <v>2832</v>
      </c>
      <c r="X40" s="91">
        <v>2890</v>
      </c>
      <c r="Y40" s="92">
        <v>2954</v>
      </c>
    </row>
    <row r="41" spans="1:25" ht="15">
      <c r="A41" s="88" t="s">
        <v>12</v>
      </c>
      <c r="B41" s="89">
        <v>1142</v>
      </c>
      <c r="C41" s="90">
        <v>1239</v>
      </c>
      <c r="D41" s="90">
        <v>1333</v>
      </c>
      <c r="E41" s="90">
        <v>1408</v>
      </c>
      <c r="F41" s="90">
        <v>1461</v>
      </c>
      <c r="G41" s="90">
        <v>1504</v>
      </c>
      <c r="H41" s="90">
        <v>1564</v>
      </c>
      <c r="I41" s="90">
        <v>1637</v>
      </c>
      <c r="J41" s="90">
        <v>1717</v>
      </c>
      <c r="K41" s="102">
        <v>1796</v>
      </c>
      <c r="L41" s="91">
        <v>1868</v>
      </c>
      <c r="M41" s="91">
        <v>1931</v>
      </c>
      <c r="N41" s="91">
        <v>1989</v>
      </c>
      <c r="O41" s="91">
        <v>2044</v>
      </c>
      <c r="P41" s="91">
        <v>2102</v>
      </c>
      <c r="Q41" s="91">
        <v>2166</v>
      </c>
      <c r="R41" s="91">
        <v>2228</v>
      </c>
      <c r="S41" s="91">
        <v>2296</v>
      </c>
      <c r="T41" s="91">
        <v>2365</v>
      </c>
      <c r="U41" s="91">
        <v>2429</v>
      </c>
      <c r="V41" s="91">
        <v>2485</v>
      </c>
      <c r="W41" s="91">
        <v>2528</v>
      </c>
      <c r="X41" s="91">
        <v>2564</v>
      </c>
      <c r="Y41" s="92">
        <v>2597</v>
      </c>
    </row>
    <row r="42" spans="1:25" ht="15">
      <c r="A42" s="88" t="s">
        <v>13</v>
      </c>
      <c r="B42" s="89">
        <v>898</v>
      </c>
      <c r="C42" s="90">
        <v>926</v>
      </c>
      <c r="D42" s="90">
        <v>965</v>
      </c>
      <c r="E42" s="90">
        <v>1025</v>
      </c>
      <c r="F42" s="90">
        <v>1106</v>
      </c>
      <c r="G42" s="90">
        <v>1191</v>
      </c>
      <c r="H42" s="90">
        <v>1232</v>
      </c>
      <c r="I42" s="90">
        <v>1268</v>
      </c>
      <c r="J42" s="90">
        <v>1305</v>
      </c>
      <c r="K42" s="102">
        <v>1350</v>
      </c>
      <c r="L42" s="91">
        <v>1405</v>
      </c>
      <c r="M42" s="91">
        <v>1464</v>
      </c>
      <c r="N42" s="91">
        <v>1532</v>
      </c>
      <c r="O42" s="91">
        <v>1607</v>
      </c>
      <c r="P42" s="91">
        <v>1682</v>
      </c>
      <c r="Q42" s="91">
        <v>1752</v>
      </c>
      <c r="R42" s="91">
        <v>1810</v>
      </c>
      <c r="S42" s="91">
        <v>1865</v>
      </c>
      <c r="T42" s="91">
        <v>1919</v>
      </c>
      <c r="U42" s="91">
        <v>1976</v>
      </c>
      <c r="V42" s="91">
        <v>2040</v>
      </c>
      <c r="W42" s="91">
        <v>2098</v>
      </c>
      <c r="X42" s="91">
        <v>2163</v>
      </c>
      <c r="Y42" s="92">
        <v>2229</v>
      </c>
    </row>
    <row r="43" spans="1:25" ht="12.75" customHeight="1">
      <c r="A43" s="88" t="s">
        <v>105</v>
      </c>
      <c r="B43" s="89">
        <v>685</v>
      </c>
      <c r="C43" s="90">
        <v>721</v>
      </c>
      <c r="D43" s="90">
        <v>750</v>
      </c>
      <c r="E43" s="90">
        <v>772</v>
      </c>
      <c r="F43" s="90">
        <v>793</v>
      </c>
      <c r="G43" s="90">
        <v>824</v>
      </c>
      <c r="H43" s="90">
        <v>857</v>
      </c>
      <c r="I43" s="90">
        <v>906</v>
      </c>
      <c r="J43" s="90">
        <v>963</v>
      </c>
      <c r="K43" s="102">
        <v>1020</v>
      </c>
      <c r="L43" s="91">
        <v>1069</v>
      </c>
      <c r="M43" s="91">
        <v>1108</v>
      </c>
      <c r="N43" s="91">
        <v>1141</v>
      </c>
      <c r="O43" s="91">
        <v>1175</v>
      </c>
      <c r="P43" s="91">
        <v>1216</v>
      </c>
      <c r="Q43" s="91">
        <v>1268</v>
      </c>
      <c r="R43" s="463">
        <v>1322</v>
      </c>
      <c r="S43" s="463">
        <v>1386</v>
      </c>
      <c r="T43" s="463">
        <v>1455</v>
      </c>
      <c r="U43" s="463">
        <v>1524</v>
      </c>
      <c r="V43" s="463">
        <v>1590</v>
      </c>
      <c r="W43" s="463">
        <v>1644</v>
      </c>
      <c r="X43" s="463">
        <v>1694</v>
      </c>
      <c r="Y43" s="464">
        <v>1745</v>
      </c>
    </row>
    <row r="44" spans="1:25" ht="15">
      <c r="A44" s="88" t="s">
        <v>106</v>
      </c>
      <c r="B44" s="89">
        <v>484</v>
      </c>
      <c r="C44" s="90">
        <v>515</v>
      </c>
      <c r="D44" s="90">
        <v>550</v>
      </c>
      <c r="E44" s="90">
        <v>590</v>
      </c>
      <c r="F44" s="90">
        <v>631</v>
      </c>
      <c r="G44" s="90">
        <v>668</v>
      </c>
      <c r="H44" s="90">
        <v>669</v>
      </c>
      <c r="I44" s="90">
        <v>666</v>
      </c>
      <c r="J44" s="90">
        <v>665</v>
      </c>
      <c r="K44" s="102">
        <v>674</v>
      </c>
      <c r="L44" s="91">
        <v>697</v>
      </c>
      <c r="M44" s="91">
        <v>727</v>
      </c>
      <c r="N44" s="91">
        <v>770</v>
      </c>
      <c r="O44" s="91">
        <v>820</v>
      </c>
      <c r="P44" s="91">
        <v>868</v>
      </c>
      <c r="Q44" s="91">
        <v>911</v>
      </c>
      <c r="R44" s="91">
        <v>943</v>
      </c>
      <c r="S44" s="91">
        <v>972</v>
      </c>
      <c r="T44" s="91">
        <v>1003</v>
      </c>
      <c r="U44" s="91">
        <v>1040</v>
      </c>
      <c r="V44" s="91">
        <v>1088</v>
      </c>
      <c r="W44" s="91">
        <v>1136</v>
      </c>
      <c r="X44" s="91">
        <v>1192</v>
      </c>
      <c r="Y44" s="92">
        <v>1253</v>
      </c>
    </row>
    <row r="45" spans="1:25" ht="15">
      <c r="A45" s="88" t="s">
        <v>107</v>
      </c>
      <c r="B45" s="89">
        <v>293</v>
      </c>
      <c r="C45" s="90">
        <v>313</v>
      </c>
      <c r="D45" s="90">
        <v>338</v>
      </c>
      <c r="E45" s="90">
        <v>366</v>
      </c>
      <c r="F45" s="90">
        <v>398</v>
      </c>
      <c r="G45" s="90">
        <v>433</v>
      </c>
      <c r="H45" s="90">
        <v>447</v>
      </c>
      <c r="I45" s="90">
        <v>465</v>
      </c>
      <c r="J45" s="90">
        <v>484</v>
      </c>
      <c r="K45" s="102">
        <v>500</v>
      </c>
      <c r="L45" s="91">
        <v>511</v>
      </c>
      <c r="M45" s="91">
        <v>512</v>
      </c>
      <c r="N45" s="91">
        <v>508</v>
      </c>
      <c r="O45" s="91">
        <v>507</v>
      </c>
      <c r="P45" s="91">
        <v>516</v>
      </c>
      <c r="Q45" s="91">
        <v>539</v>
      </c>
      <c r="R45" s="91">
        <v>563</v>
      </c>
      <c r="S45" s="91">
        <v>597</v>
      </c>
      <c r="T45" s="91">
        <v>636</v>
      </c>
      <c r="U45" s="91">
        <v>675</v>
      </c>
      <c r="V45" s="91">
        <v>711</v>
      </c>
      <c r="W45" s="91">
        <v>735</v>
      </c>
      <c r="X45" s="91">
        <v>756</v>
      </c>
      <c r="Y45" s="92">
        <v>781</v>
      </c>
    </row>
    <row r="46" spans="1:25" ht="15">
      <c r="A46" s="93" t="s">
        <v>108</v>
      </c>
      <c r="B46" s="94">
        <v>239</v>
      </c>
      <c r="C46" s="95">
        <v>252</v>
      </c>
      <c r="D46" s="95">
        <v>263</v>
      </c>
      <c r="E46" s="95">
        <v>275</v>
      </c>
      <c r="F46" s="95">
        <v>290</v>
      </c>
      <c r="G46" s="95">
        <v>309</v>
      </c>
      <c r="H46" s="95">
        <v>330</v>
      </c>
      <c r="I46" s="95">
        <v>348</v>
      </c>
      <c r="J46" s="95">
        <v>363</v>
      </c>
      <c r="K46" s="103">
        <v>373</v>
      </c>
      <c r="L46" s="96">
        <v>380</v>
      </c>
      <c r="M46" s="96">
        <v>408</v>
      </c>
      <c r="N46" s="96">
        <v>432</v>
      </c>
      <c r="O46" s="96">
        <v>451</v>
      </c>
      <c r="P46" s="96">
        <v>460</v>
      </c>
      <c r="Q46" s="91">
        <v>461</v>
      </c>
      <c r="R46" s="91">
        <v>483</v>
      </c>
      <c r="S46" s="91">
        <v>497</v>
      </c>
      <c r="T46" s="91">
        <v>504</v>
      </c>
      <c r="U46" s="91">
        <v>509</v>
      </c>
      <c r="V46" s="91">
        <v>516</v>
      </c>
      <c r="W46" s="91">
        <v>553</v>
      </c>
      <c r="X46" s="91">
        <v>586</v>
      </c>
      <c r="Y46" s="92">
        <v>616</v>
      </c>
    </row>
    <row r="47" spans="1:25" ht="15">
      <c r="A47" s="104" t="s">
        <v>14</v>
      </c>
      <c r="B47" s="105">
        <f>SUM(B30:B46)</f>
        <v>42848</v>
      </c>
      <c r="C47" s="105">
        <f>SUM(C30:C46)</f>
        <v>43528</v>
      </c>
      <c r="D47" s="98">
        <f>SUM(D30:D46)</f>
        <v>44143</v>
      </c>
      <c r="E47" s="98">
        <f aca="true" t="shared" si="2" ref="E47:Q47">SUM(E30:E46)</f>
        <v>44725</v>
      </c>
      <c r="F47" s="98">
        <f t="shared" si="2"/>
        <v>45328</v>
      </c>
      <c r="G47" s="98">
        <f t="shared" si="2"/>
        <v>45980</v>
      </c>
      <c r="H47" s="98">
        <f t="shared" si="2"/>
        <v>46691</v>
      </c>
      <c r="I47" s="98">
        <f t="shared" si="2"/>
        <v>47460</v>
      </c>
      <c r="J47" s="98">
        <f t="shared" si="2"/>
        <v>48263</v>
      </c>
      <c r="K47" s="98">
        <f t="shared" si="2"/>
        <v>49079</v>
      </c>
      <c r="L47" s="465">
        <f t="shared" si="2"/>
        <v>49888</v>
      </c>
      <c r="M47" s="98">
        <f t="shared" si="2"/>
        <v>50686</v>
      </c>
      <c r="N47" s="98">
        <f t="shared" si="2"/>
        <v>51477</v>
      </c>
      <c r="O47" s="98">
        <f t="shared" si="2"/>
        <v>52270</v>
      </c>
      <c r="P47" s="98">
        <f t="shared" si="2"/>
        <v>53060</v>
      </c>
      <c r="Q47" s="98">
        <f t="shared" si="2"/>
        <v>53855</v>
      </c>
      <c r="R47" s="98">
        <f aca="true" t="shared" si="3" ref="R47:Y47">SUM(R30:R46)</f>
        <v>54655</v>
      </c>
      <c r="S47" s="98">
        <f t="shared" si="3"/>
        <v>55458</v>
      </c>
      <c r="T47" s="98">
        <f t="shared" si="3"/>
        <v>56256</v>
      </c>
      <c r="U47" s="98">
        <f t="shared" si="3"/>
        <v>57048</v>
      </c>
      <c r="V47" s="98">
        <f t="shared" si="3"/>
        <v>57842</v>
      </c>
      <c r="W47" s="98">
        <f t="shared" si="3"/>
        <v>58630</v>
      </c>
      <c r="X47" s="98">
        <f t="shared" si="3"/>
        <v>59409</v>
      </c>
      <c r="Y47" s="98">
        <f t="shared" si="3"/>
        <v>60183</v>
      </c>
    </row>
    <row r="48" spans="1:25" ht="15">
      <c r="A48" s="21"/>
      <c r="B48" s="21"/>
      <c r="C48" s="21"/>
      <c r="D48" s="21"/>
      <c r="E48" s="21"/>
      <c r="F48" s="76"/>
      <c r="G48" s="21"/>
      <c r="H48" s="21"/>
      <c r="I48" s="21"/>
      <c r="J48" s="21"/>
      <c r="K48" s="21"/>
      <c r="L48" s="21"/>
      <c r="M48" s="21"/>
      <c r="N48" s="21"/>
      <c r="O48" s="21"/>
      <c r="P48" s="21"/>
      <c r="Q48" s="21"/>
      <c r="R48" s="21"/>
      <c r="S48" s="21"/>
      <c r="T48" s="21"/>
      <c r="U48" s="21"/>
      <c r="V48" s="21"/>
      <c r="W48" s="21"/>
      <c r="X48" s="21"/>
      <c r="Y48" s="21"/>
    </row>
    <row r="49" spans="1:25" ht="15">
      <c r="A49" s="57" t="s">
        <v>100</v>
      </c>
      <c r="B49" s="21"/>
      <c r="C49" s="21"/>
      <c r="D49" s="21"/>
      <c r="E49" s="21"/>
      <c r="F49" s="76"/>
      <c r="G49" s="21"/>
      <c r="H49" s="21"/>
      <c r="I49" s="21"/>
      <c r="J49" s="21"/>
      <c r="K49" s="21"/>
      <c r="L49" s="99"/>
      <c r="M49" s="99"/>
      <c r="N49" s="99"/>
      <c r="O49" s="99"/>
      <c r="P49" s="99"/>
      <c r="Q49" s="99"/>
      <c r="R49" s="99"/>
      <c r="S49" s="99"/>
      <c r="T49" s="99"/>
      <c r="U49" s="99"/>
      <c r="V49" s="99"/>
      <c r="W49" s="99"/>
      <c r="X49" s="99"/>
      <c r="Y49" s="99"/>
    </row>
    <row r="50" spans="1:25" ht="15">
      <c r="A50" s="81" t="s">
        <v>0</v>
      </c>
      <c r="B50" s="82">
        <v>2005</v>
      </c>
      <c r="C50" s="82">
        <v>2006</v>
      </c>
      <c r="D50" s="82">
        <v>2007</v>
      </c>
      <c r="E50" s="82">
        <v>2008</v>
      </c>
      <c r="F50" s="82">
        <v>2009</v>
      </c>
      <c r="G50" s="82">
        <v>2010</v>
      </c>
      <c r="H50" s="82">
        <v>2011</v>
      </c>
      <c r="I50" s="82">
        <v>2012</v>
      </c>
      <c r="J50" s="82">
        <v>2013</v>
      </c>
      <c r="K50" s="82">
        <v>2014</v>
      </c>
      <c r="L50" s="127">
        <v>2015</v>
      </c>
      <c r="M50" s="82">
        <v>2016</v>
      </c>
      <c r="N50" s="82">
        <v>2017</v>
      </c>
      <c r="O50" s="82">
        <v>2018</v>
      </c>
      <c r="P50" s="82">
        <v>2019</v>
      </c>
      <c r="Q50" s="82">
        <v>2020</v>
      </c>
      <c r="R50" s="82">
        <v>2021</v>
      </c>
      <c r="S50" s="82">
        <v>2022</v>
      </c>
      <c r="T50" s="82">
        <v>2023</v>
      </c>
      <c r="U50" s="82">
        <v>2024</v>
      </c>
      <c r="V50" s="82">
        <v>2025</v>
      </c>
      <c r="W50" s="82">
        <v>2026</v>
      </c>
      <c r="X50" s="82">
        <v>2027</v>
      </c>
      <c r="Y50" s="82">
        <v>2028</v>
      </c>
    </row>
    <row r="51" spans="1:26" ht="15">
      <c r="A51" s="106" t="s">
        <v>1</v>
      </c>
      <c r="B51" s="84">
        <v>11409</v>
      </c>
      <c r="C51" s="85">
        <v>11322</v>
      </c>
      <c r="D51" s="85">
        <v>11186</v>
      </c>
      <c r="E51" s="85">
        <v>11002</v>
      </c>
      <c r="F51" s="85">
        <v>10823</v>
      </c>
      <c r="G51" s="85">
        <v>10731</v>
      </c>
      <c r="H51" s="85">
        <v>10844</v>
      </c>
      <c r="I51" s="85">
        <v>10933</v>
      </c>
      <c r="J51" s="85">
        <v>11032</v>
      </c>
      <c r="K51" s="101">
        <v>11144</v>
      </c>
      <c r="L51" s="86">
        <v>11255</v>
      </c>
      <c r="M51" s="86">
        <v>11364</v>
      </c>
      <c r="N51" s="86">
        <v>11440</v>
      </c>
      <c r="O51" s="86">
        <v>11491</v>
      </c>
      <c r="P51" s="86">
        <v>11529</v>
      </c>
      <c r="Q51" s="86">
        <v>11568</v>
      </c>
      <c r="R51" s="86">
        <v>11598</v>
      </c>
      <c r="S51" s="86">
        <v>11632</v>
      </c>
      <c r="T51" s="86">
        <v>11670</v>
      </c>
      <c r="U51" s="86">
        <v>11704</v>
      </c>
      <c r="V51" s="86">
        <v>11733</v>
      </c>
      <c r="W51" s="86">
        <v>11765</v>
      </c>
      <c r="X51" s="86">
        <v>11795</v>
      </c>
      <c r="Y51" s="87">
        <v>11819</v>
      </c>
      <c r="Z51" s="638"/>
    </row>
    <row r="52" spans="1:25" ht="15">
      <c r="A52" s="107" t="s">
        <v>2</v>
      </c>
      <c r="B52" s="89">
        <v>10640</v>
      </c>
      <c r="C52" s="90">
        <v>10668</v>
      </c>
      <c r="D52" s="90">
        <v>10646</v>
      </c>
      <c r="E52" s="90">
        <v>10577</v>
      </c>
      <c r="F52" s="90">
        <v>10464</v>
      </c>
      <c r="G52" s="90">
        <v>10308</v>
      </c>
      <c r="H52" s="90">
        <v>10332</v>
      </c>
      <c r="I52" s="90">
        <v>10388</v>
      </c>
      <c r="J52" s="90">
        <v>10469</v>
      </c>
      <c r="K52" s="102">
        <v>10562</v>
      </c>
      <c r="L52" s="91">
        <v>10652</v>
      </c>
      <c r="M52" s="91">
        <v>10749</v>
      </c>
      <c r="N52" s="91">
        <v>10857</v>
      </c>
      <c r="O52" s="91">
        <v>10971</v>
      </c>
      <c r="P52" s="91">
        <v>11083</v>
      </c>
      <c r="Q52" s="91">
        <v>11182</v>
      </c>
      <c r="R52" s="91">
        <v>11279</v>
      </c>
      <c r="S52" s="91">
        <v>11358</v>
      </c>
      <c r="T52" s="91">
        <v>11419</v>
      </c>
      <c r="U52" s="91">
        <v>11466</v>
      </c>
      <c r="V52" s="91">
        <v>11505</v>
      </c>
      <c r="W52" s="91">
        <v>11554</v>
      </c>
      <c r="X52" s="91">
        <v>11595</v>
      </c>
      <c r="Y52" s="92">
        <v>11628</v>
      </c>
    </row>
    <row r="53" spans="1:25" ht="15">
      <c r="A53" s="107" t="s">
        <v>3</v>
      </c>
      <c r="B53" s="89">
        <v>9909</v>
      </c>
      <c r="C53" s="90">
        <v>10017</v>
      </c>
      <c r="D53" s="90">
        <v>10120</v>
      </c>
      <c r="E53" s="90">
        <v>10197</v>
      </c>
      <c r="F53" s="90">
        <v>10237</v>
      </c>
      <c r="G53" s="90">
        <v>10232</v>
      </c>
      <c r="H53" s="90">
        <v>10234</v>
      </c>
      <c r="I53" s="90">
        <v>10236</v>
      </c>
      <c r="J53" s="90">
        <v>10237</v>
      </c>
      <c r="K53" s="102">
        <v>10243</v>
      </c>
      <c r="L53" s="91">
        <v>10265</v>
      </c>
      <c r="M53" s="91">
        <v>10299</v>
      </c>
      <c r="N53" s="91">
        <v>10355</v>
      </c>
      <c r="O53" s="91">
        <v>10430</v>
      </c>
      <c r="P53" s="91">
        <v>10518</v>
      </c>
      <c r="Q53" s="91">
        <v>10613</v>
      </c>
      <c r="R53" s="91">
        <v>10714</v>
      </c>
      <c r="S53" s="91">
        <v>10824</v>
      </c>
      <c r="T53" s="91">
        <v>10939</v>
      </c>
      <c r="U53" s="91">
        <v>11050</v>
      </c>
      <c r="V53" s="91">
        <v>11149</v>
      </c>
      <c r="W53" s="91">
        <v>11233</v>
      </c>
      <c r="X53" s="91">
        <v>11306</v>
      </c>
      <c r="Y53" s="92">
        <v>11368</v>
      </c>
    </row>
    <row r="54" spans="1:25" ht="15">
      <c r="A54" s="107" t="s">
        <v>4</v>
      </c>
      <c r="B54" s="89">
        <v>9132</v>
      </c>
      <c r="C54" s="90">
        <v>9175</v>
      </c>
      <c r="D54" s="90">
        <v>9251</v>
      </c>
      <c r="E54" s="90">
        <v>9387</v>
      </c>
      <c r="F54" s="90">
        <v>9574</v>
      </c>
      <c r="G54" s="90">
        <v>9768</v>
      </c>
      <c r="H54" s="90">
        <v>9902</v>
      </c>
      <c r="I54" s="90">
        <v>9996</v>
      </c>
      <c r="J54" s="90">
        <v>10055</v>
      </c>
      <c r="K54" s="102">
        <v>10094</v>
      </c>
      <c r="L54" s="91">
        <v>10124</v>
      </c>
      <c r="M54" s="91">
        <v>10134</v>
      </c>
      <c r="N54" s="91">
        <v>10133</v>
      </c>
      <c r="O54" s="91">
        <v>10132</v>
      </c>
      <c r="P54" s="91">
        <v>10142</v>
      </c>
      <c r="Q54" s="91">
        <v>10171</v>
      </c>
      <c r="R54" s="91">
        <v>10214</v>
      </c>
      <c r="S54" s="91">
        <v>10275</v>
      </c>
      <c r="T54" s="91">
        <v>10352</v>
      </c>
      <c r="U54" s="91">
        <v>10442</v>
      </c>
      <c r="V54" s="91">
        <v>10541</v>
      </c>
      <c r="W54" s="91">
        <v>10643</v>
      </c>
      <c r="X54" s="91">
        <v>10753</v>
      </c>
      <c r="Y54" s="92">
        <v>10868</v>
      </c>
    </row>
    <row r="55" spans="1:25" ht="15">
      <c r="A55" s="107" t="s">
        <v>5</v>
      </c>
      <c r="B55" s="89">
        <v>7951</v>
      </c>
      <c r="C55" s="90">
        <v>8053</v>
      </c>
      <c r="D55" s="90">
        <v>8138</v>
      </c>
      <c r="E55" s="90">
        <v>8210</v>
      </c>
      <c r="F55" s="90">
        <v>8285</v>
      </c>
      <c r="G55" s="90">
        <v>8386</v>
      </c>
      <c r="H55" s="90">
        <v>8614</v>
      </c>
      <c r="I55" s="90">
        <v>8877</v>
      </c>
      <c r="J55" s="90">
        <v>9148</v>
      </c>
      <c r="K55" s="102">
        <v>9389</v>
      </c>
      <c r="L55" s="91">
        <v>9580</v>
      </c>
      <c r="M55" s="91">
        <v>9728</v>
      </c>
      <c r="N55" s="91">
        <v>9828</v>
      </c>
      <c r="O55" s="91">
        <v>9889</v>
      </c>
      <c r="P55" s="91">
        <v>9927</v>
      </c>
      <c r="Q55" s="91">
        <v>9956</v>
      </c>
      <c r="R55" s="91">
        <v>9982</v>
      </c>
      <c r="S55" s="91">
        <v>9994</v>
      </c>
      <c r="T55" s="91">
        <v>10001</v>
      </c>
      <c r="U55" s="91">
        <v>10015</v>
      </c>
      <c r="V55" s="91">
        <v>10044</v>
      </c>
      <c r="W55" s="91">
        <v>10092</v>
      </c>
      <c r="X55" s="91">
        <v>10156</v>
      </c>
      <c r="Y55" s="92">
        <v>10234</v>
      </c>
    </row>
    <row r="56" spans="1:25" ht="15">
      <c r="A56" s="107" t="s">
        <v>6</v>
      </c>
      <c r="B56" s="89">
        <v>6928</v>
      </c>
      <c r="C56" s="90">
        <v>7076</v>
      </c>
      <c r="D56" s="90">
        <v>7193</v>
      </c>
      <c r="E56" s="90">
        <v>7283</v>
      </c>
      <c r="F56" s="90">
        <v>7355</v>
      </c>
      <c r="G56" s="90">
        <v>7416</v>
      </c>
      <c r="H56" s="90">
        <v>7532</v>
      </c>
      <c r="I56" s="90">
        <v>7665</v>
      </c>
      <c r="J56" s="90">
        <v>7815</v>
      </c>
      <c r="K56" s="102">
        <v>7988</v>
      </c>
      <c r="L56" s="91">
        <v>8189</v>
      </c>
      <c r="M56" s="91">
        <v>8424</v>
      </c>
      <c r="N56" s="91">
        <v>8689</v>
      </c>
      <c r="O56" s="91">
        <v>8961</v>
      </c>
      <c r="P56" s="91">
        <v>9204</v>
      </c>
      <c r="Q56" s="91">
        <v>9397</v>
      </c>
      <c r="R56" s="91">
        <v>9554</v>
      </c>
      <c r="S56" s="91">
        <v>9662</v>
      </c>
      <c r="T56" s="91">
        <v>9731</v>
      </c>
      <c r="U56" s="91">
        <v>9776</v>
      </c>
      <c r="V56" s="91">
        <v>9811</v>
      </c>
      <c r="W56" s="91">
        <v>9839</v>
      </c>
      <c r="X56" s="91">
        <v>9853</v>
      </c>
      <c r="Y56" s="92">
        <v>9861</v>
      </c>
    </row>
    <row r="57" spans="1:25" ht="15">
      <c r="A57" s="107" t="s">
        <v>7</v>
      </c>
      <c r="B57" s="89">
        <v>6015</v>
      </c>
      <c r="C57" s="90">
        <v>6178</v>
      </c>
      <c r="D57" s="90">
        <v>6342</v>
      </c>
      <c r="E57" s="90">
        <v>6511</v>
      </c>
      <c r="F57" s="90">
        <v>6672</v>
      </c>
      <c r="G57" s="90">
        <v>6807</v>
      </c>
      <c r="H57" s="90">
        <v>6896</v>
      </c>
      <c r="I57" s="90">
        <v>6977</v>
      </c>
      <c r="J57" s="90">
        <v>7054</v>
      </c>
      <c r="K57" s="102">
        <v>7138</v>
      </c>
      <c r="L57" s="91">
        <v>7238</v>
      </c>
      <c r="M57" s="91">
        <v>7359</v>
      </c>
      <c r="N57" s="91">
        <v>7492</v>
      </c>
      <c r="O57" s="91">
        <v>7643</v>
      </c>
      <c r="P57" s="91">
        <v>7819</v>
      </c>
      <c r="Q57" s="91">
        <v>8023</v>
      </c>
      <c r="R57" s="91">
        <v>8263</v>
      </c>
      <c r="S57" s="91">
        <v>8532</v>
      </c>
      <c r="T57" s="91">
        <v>8807</v>
      </c>
      <c r="U57" s="91">
        <v>9055</v>
      </c>
      <c r="V57" s="91">
        <v>9253</v>
      </c>
      <c r="W57" s="91">
        <v>9410</v>
      </c>
      <c r="X57" s="91">
        <v>9518</v>
      </c>
      <c r="Y57" s="92">
        <v>9587</v>
      </c>
    </row>
    <row r="58" spans="1:25" ht="15">
      <c r="A58" s="107" t="s">
        <v>8</v>
      </c>
      <c r="B58" s="89">
        <v>5324</v>
      </c>
      <c r="C58" s="90">
        <v>5489</v>
      </c>
      <c r="D58" s="90">
        <v>5644</v>
      </c>
      <c r="E58" s="90">
        <v>5789</v>
      </c>
      <c r="F58" s="90">
        <v>5931</v>
      </c>
      <c r="G58" s="90">
        <v>6076</v>
      </c>
      <c r="H58" s="90">
        <v>6172</v>
      </c>
      <c r="I58" s="90">
        <v>6291</v>
      </c>
      <c r="J58" s="90">
        <v>6419</v>
      </c>
      <c r="K58" s="102">
        <v>6538</v>
      </c>
      <c r="L58" s="91">
        <v>6641</v>
      </c>
      <c r="M58" s="91">
        <v>6733</v>
      </c>
      <c r="N58" s="91">
        <v>6814</v>
      </c>
      <c r="O58" s="91">
        <v>6892</v>
      </c>
      <c r="P58" s="91">
        <v>6980</v>
      </c>
      <c r="Q58" s="91">
        <v>7084</v>
      </c>
      <c r="R58" s="91">
        <v>7208</v>
      </c>
      <c r="S58" s="91">
        <v>7343</v>
      </c>
      <c r="T58" s="91">
        <v>7497</v>
      </c>
      <c r="U58" s="91">
        <v>7676</v>
      </c>
      <c r="V58" s="91">
        <v>7885</v>
      </c>
      <c r="W58" s="91">
        <v>8122</v>
      </c>
      <c r="X58" s="91">
        <v>8389</v>
      </c>
      <c r="Y58" s="92">
        <v>8663</v>
      </c>
    </row>
    <row r="59" spans="1:25" ht="15">
      <c r="A59" s="107" t="s">
        <v>9</v>
      </c>
      <c r="B59" s="89">
        <v>4674</v>
      </c>
      <c r="C59" s="90">
        <v>4818</v>
      </c>
      <c r="D59" s="90">
        <v>4978</v>
      </c>
      <c r="E59" s="90">
        <v>5159</v>
      </c>
      <c r="F59" s="90">
        <v>5352</v>
      </c>
      <c r="G59" s="90">
        <v>5542</v>
      </c>
      <c r="H59" s="90">
        <v>5626</v>
      </c>
      <c r="I59" s="90">
        <v>5696</v>
      </c>
      <c r="J59" s="90">
        <v>5758</v>
      </c>
      <c r="K59" s="102">
        <v>5826</v>
      </c>
      <c r="L59" s="91">
        <v>5911</v>
      </c>
      <c r="M59" s="91">
        <v>6009</v>
      </c>
      <c r="N59" s="91">
        <v>6126</v>
      </c>
      <c r="O59" s="91">
        <v>6253</v>
      </c>
      <c r="P59" s="91">
        <v>6374</v>
      </c>
      <c r="Q59" s="91">
        <v>6480</v>
      </c>
      <c r="R59" s="91">
        <v>6574</v>
      </c>
      <c r="S59" s="91">
        <v>6657</v>
      </c>
      <c r="T59" s="91">
        <v>6737</v>
      </c>
      <c r="U59" s="91">
        <v>6828</v>
      </c>
      <c r="V59" s="91">
        <v>6937</v>
      </c>
      <c r="W59" s="91">
        <v>7058</v>
      </c>
      <c r="X59" s="91">
        <v>7193</v>
      </c>
      <c r="Y59" s="92">
        <v>7345</v>
      </c>
    </row>
    <row r="60" spans="1:25" ht="15">
      <c r="A60" s="107" t="s">
        <v>10</v>
      </c>
      <c r="B60" s="89">
        <v>3982</v>
      </c>
      <c r="C60" s="90">
        <v>4106</v>
      </c>
      <c r="D60" s="90">
        <v>4246</v>
      </c>
      <c r="E60" s="90">
        <v>4395</v>
      </c>
      <c r="F60" s="90">
        <v>4554</v>
      </c>
      <c r="G60" s="90">
        <v>4729</v>
      </c>
      <c r="H60" s="90">
        <v>4850</v>
      </c>
      <c r="I60" s="90">
        <v>4984</v>
      </c>
      <c r="J60" s="90">
        <v>5121</v>
      </c>
      <c r="K60" s="102">
        <v>5247</v>
      </c>
      <c r="L60" s="91">
        <v>5354</v>
      </c>
      <c r="M60" s="91">
        <v>5437</v>
      </c>
      <c r="N60" s="91">
        <v>5505</v>
      </c>
      <c r="O60" s="91">
        <v>5567</v>
      </c>
      <c r="P60" s="91">
        <v>5638</v>
      </c>
      <c r="Q60" s="91">
        <v>5726</v>
      </c>
      <c r="R60" s="91">
        <v>5823</v>
      </c>
      <c r="S60" s="91">
        <v>5940</v>
      </c>
      <c r="T60" s="91">
        <v>6067</v>
      </c>
      <c r="U60" s="91">
        <v>6189</v>
      </c>
      <c r="V60" s="91">
        <v>6299</v>
      </c>
      <c r="W60" s="91">
        <v>6389</v>
      </c>
      <c r="X60" s="91">
        <v>6470</v>
      </c>
      <c r="Y60" s="92">
        <v>6551</v>
      </c>
    </row>
    <row r="61" spans="1:25" ht="15">
      <c r="A61" s="107" t="s">
        <v>11</v>
      </c>
      <c r="B61" s="89">
        <v>3310</v>
      </c>
      <c r="C61" s="90">
        <v>3413</v>
      </c>
      <c r="D61" s="90">
        <v>3506</v>
      </c>
      <c r="E61" s="90">
        <v>3618</v>
      </c>
      <c r="F61" s="90">
        <v>3761</v>
      </c>
      <c r="G61" s="90">
        <v>3927</v>
      </c>
      <c r="H61" s="90">
        <v>4046</v>
      </c>
      <c r="I61" s="90">
        <v>4159</v>
      </c>
      <c r="J61" s="90">
        <v>4269</v>
      </c>
      <c r="K61" s="102">
        <v>4382</v>
      </c>
      <c r="L61" s="91">
        <v>4504</v>
      </c>
      <c r="M61" s="91">
        <v>4624</v>
      </c>
      <c r="N61" s="91">
        <v>4754</v>
      </c>
      <c r="O61" s="91">
        <v>4886</v>
      </c>
      <c r="P61" s="91">
        <v>5010</v>
      </c>
      <c r="Q61" s="91">
        <v>5117</v>
      </c>
      <c r="R61" s="91">
        <v>5199</v>
      </c>
      <c r="S61" s="91">
        <v>5267</v>
      </c>
      <c r="T61" s="91">
        <v>5329</v>
      </c>
      <c r="U61" s="91">
        <v>5401</v>
      </c>
      <c r="V61" s="91">
        <v>5491</v>
      </c>
      <c r="W61" s="91">
        <v>5586</v>
      </c>
      <c r="X61" s="91">
        <v>5700</v>
      </c>
      <c r="Y61" s="92">
        <v>5825</v>
      </c>
    </row>
    <row r="62" spans="1:25" ht="15">
      <c r="A62" s="107" t="s">
        <v>12</v>
      </c>
      <c r="B62" s="89">
        <v>2226</v>
      </c>
      <c r="C62" s="90">
        <v>2410</v>
      </c>
      <c r="D62" s="90">
        <v>2596</v>
      </c>
      <c r="E62" s="90">
        <v>2756</v>
      </c>
      <c r="F62" s="90">
        <v>2881</v>
      </c>
      <c r="G62" s="90">
        <v>2991</v>
      </c>
      <c r="H62" s="90">
        <v>3109</v>
      </c>
      <c r="I62" s="90">
        <v>3245</v>
      </c>
      <c r="J62" s="90">
        <v>3390</v>
      </c>
      <c r="K62" s="102">
        <v>3533</v>
      </c>
      <c r="L62" s="91">
        <v>3666</v>
      </c>
      <c r="M62" s="91">
        <v>3780</v>
      </c>
      <c r="N62" s="91">
        <v>3887</v>
      </c>
      <c r="O62" s="91">
        <v>3992</v>
      </c>
      <c r="P62" s="91">
        <v>4102</v>
      </c>
      <c r="Q62" s="91">
        <v>4222</v>
      </c>
      <c r="R62" s="91">
        <v>4337</v>
      </c>
      <c r="S62" s="91">
        <v>4462</v>
      </c>
      <c r="T62" s="91">
        <v>4590</v>
      </c>
      <c r="U62" s="91">
        <v>4710</v>
      </c>
      <c r="V62" s="91">
        <v>4815</v>
      </c>
      <c r="W62" s="91">
        <v>4893</v>
      </c>
      <c r="X62" s="91">
        <v>4958</v>
      </c>
      <c r="Y62" s="92">
        <v>5020</v>
      </c>
    </row>
    <row r="63" spans="1:25" ht="15">
      <c r="A63" s="107" t="s">
        <v>13</v>
      </c>
      <c r="B63" s="89">
        <v>1693</v>
      </c>
      <c r="C63" s="90">
        <v>1749</v>
      </c>
      <c r="D63" s="90">
        <v>1826</v>
      </c>
      <c r="E63" s="90">
        <v>1942</v>
      </c>
      <c r="F63" s="90">
        <v>2097</v>
      </c>
      <c r="G63" s="90">
        <v>2262</v>
      </c>
      <c r="H63" s="90">
        <v>2348</v>
      </c>
      <c r="I63" s="90">
        <v>2428</v>
      </c>
      <c r="J63" s="90">
        <v>2508</v>
      </c>
      <c r="K63" s="102">
        <v>2600</v>
      </c>
      <c r="L63" s="91">
        <v>2709</v>
      </c>
      <c r="M63" s="91">
        <v>2818</v>
      </c>
      <c r="N63" s="91">
        <v>2943</v>
      </c>
      <c r="O63" s="91">
        <v>3077</v>
      </c>
      <c r="P63" s="91">
        <v>3211</v>
      </c>
      <c r="Q63" s="91">
        <v>3338</v>
      </c>
      <c r="R63" s="91">
        <v>3443</v>
      </c>
      <c r="S63" s="91">
        <v>3541</v>
      </c>
      <c r="T63" s="91">
        <v>3640</v>
      </c>
      <c r="U63" s="91">
        <v>3745</v>
      </c>
      <c r="V63" s="91">
        <v>3862</v>
      </c>
      <c r="W63" s="91">
        <v>3968</v>
      </c>
      <c r="X63" s="91">
        <v>4084</v>
      </c>
      <c r="Y63" s="92">
        <v>4204</v>
      </c>
    </row>
    <row r="64" spans="1:26" ht="12.75" customHeight="1">
      <c r="A64" s="107" t="s">
        <v>105</v>
      </c>
      <c r="B64" s="89">
        <v>1240</v>
      </c>
      <c r="C64" s="90">
        <v>1304</v>
      </c>
      <c r="D64" s="90">
        <v>1360</v>
      </c>
      <c r="E64" s="90">
        <v>1405</v>
      </c>
      <c r="F64" s="90">
        <v>1447</v>
      </c>
      <c r="G64" s="90">
        <v>1508</v>
      </c>
      <c r="H64" s="90">
        <v>1570</v>
      </c>
      <c r="I64" s="90">
        <v>1658</v>
      </c>
      <c r="J64" s="90">
        <v>1760</v>
      </c>
      <c r="K64" s="102">
        <v>1861</v>
      </c>
      <c r="L64" s="91">
        <v>1954</v>
      </c>
      <c r="M64" s="91">
        <v>2030</v>
      </c>
      <c r="N64" s="91">
        <v>2100</v>
      </c>
      <c r="O64" s="91">
        <v>2171</v>
      </c>
      <c r="P64" s="91">
        <v>2253</v>
      </c>
      <c r="Q64" s="91">
        <v>2352</v>
      </c>
      <c r="R64" s="463">
        <v>2451</v>
      </c>
      <c r="S64" s="463">
        <v>2563</v>
      </c>
      <c r="T64" s="463">
        <v>2683</v>
      </c>
      <c r="U64" s="463">
        <v>2802</v>
      </c>
      <c r="V64" s="463">
        <v>2916</v>
      </c>
      <c r="W64" s="463">
        <v>3010</v>
      </c>
      <c r="X64" s="463">
        <v>3099</v>
      </c>
      <c r="Y64" s="464">
        <v>3189</v>
      </c>
      <c r="Z64" s="1091"/>
    </row>
    <row r="65" spans="1:26" ht="15">
      <c r="A65" s="107" t="s">
        <v>106</v>
      </c>
      <c r="B65" s="89">
        <v>856</v>
      </c>
      <c r="C65" s="90">
        <v>907</v>
      </c>
      <c r="D65" s="90">
        <v>964</v>
      </c>
      <c r="E65" s="90">
        <v>1029</v>
      </c>
      <c r="F65" s="90">
        <v>1099</v>
      </c>
      <c r="G65" s="90">
        <v>1163</v>
      </c>
      <c r="H65" s="90">
        <v>1167</v>
      </c>
      <c r="I65" s="90">
        <v>1163</v>
      </c>
      <c r="J65" s="90">
        <v>1161</v>
      </c>
      <c r="K65" s="102">
        <v>1177</v>
      </c>
      <c r="L65" s="91">
        <v>1217</v>
      </c>
      <c r="M65" s="91">
        <v>1272</v>
      </c>
      <c r="N65" s="91">
        <v>1346</v>
      </c>
      <c r="O65" s="91">
        <v>1430</v>
      </c>
      <c r="P65" s="91">
        <v>1513</v>
      </c>
      <c r="Q65" s="91">
        <v>1589</v>
      </c>
      <c r="R65" s="91">
        <v>1652</v>
      </c>
      <c r="S65" s="91">
        <v>1711</v>
      </c>
      <c r="T65" s="91">
        <v>1771</v>
      </c>
      <c r="U65" s="91">
        <v>1841</v>
      </c>
      <c r="V65" s="91">
        <v>1925</v>
      </c>
      <c r="W65" s="91">
        <v>2010</v>
      </c>
      <c r="X65" s="91">
        <v>2106</v>
      </c>
      <c r="Y65" s="92">
        <v>2207</v>
      </c>
      <c r="Z65" s="1091"/>
    </row>
    <row r="66" spans="1:26" ht="15">
      <c r="A66" s="107" t="s">
        <v>107</v>
      </c>
      <c r="B66" s="89">
        <v>481</v>
      </c>
      <c r="C66" s="90">
        <v>517</v>
      </c>
      <c r="D66" s="90">
        <v>561</v>
      </c>
      <c r="E66" s="90">
        <v>611</v>
      </c>
      <c r="F66" s="90">
        <v>664</v>
      </c>
      <c r="G66" s="90">
        <v>721</v>
      </c>
      <c r="H66" s="90">
        <v>748</v>
      </c>
      <c r="I66" s="90">
        <v>778</v>
      </c>
      <c r="J66" s="90">
        <v>807</v>
      </c>
      <c r="K66" s="102">
        <v>830</v>
      </c>
      <c r="L66" s="91">
        <v>845</v>
      </c>
      <c r="M66" s="91">
        <v>848</v>
      </c>
      <c r="N66" s="91">
        <v>844</v>
      </c>
      <c r="O66" s="91">
        <v>843</v>
      </c>
      <c r="P66" s="91">
        <v>858</v>
      </c>
      <c r="Q66" s="91">
        <v>893</v>
      </c>
      <c r="R66" s="91">
        <v>937</v>
      </c>
      <c r="S66" s="91">
        <v>993</v>
      </c>
      <c r="T66" s="91">
        <v>1057</v>
      </c>
      <c r="U66" s="91">
        <v>1119</v>
      </c>
      <c r="V66" s="91">
        <v>1177</v>
      </c>
      <c r="W66" s="91">
        <v>1224</v>
      </c>
      <c r="X66" s="91">
        <v>1267</v>
      </c>
      <c r="Y66" s="92">
        <v>1313</v>
      </c>
      <c r="Z66" s="1091"/>
    </row>
    <row r="67" spans="1:26" ht="15">
      <c r="A67" s="108" t="s">
        <v>108</v>
      </c>
      <c r="B67" s="94">
        <v>372</v>
      </c>
      <c r="C67" s="95">
        <v>392</v>
      </c>
      <c r="D67" s="95">
        <v>409</v>
      </c>
      <c r="E67" s="95">
        <v>425</v>
      </c>
      <c r="F67" s="95">
        <v>446</v>
      </c>
      <c r="G67" s="95">
        <v>473</v>
      </c>
      <c r="H67" s="95">
        <v>511</v>
      </c>
      <c r="I67" s="95">
        <v>545</v>
      </c>
      <c r="J67" s="90">
        <v>569</v>
      </c>
      <c r="K67" s="103">
        <v>586</v>
      </c>
      <c r="L67" s="96">
        <v>596</v>
      </c>
      <c r="M67" s="96">
        <v>643</v>
      </c>
      <c r="N67" s="96">
        <v>683</v>
      </c>
      <c r="O67" s="96">
        <v>713</v>
      </c>
      <c r="P67" s="96">
        <v>726</v>
      </c>
      <c r="Q67" s="91">
        <v>725</v>
      </c>
      <c r="R67" s="91">
        <v>760</v>
      </c>
      <c r="S67" s="91">
        <v>783</v>
      </c>
      <c r="T67" s="91">
        <v>797</v>
      </c>
      <c r="U67" s="91">
        <v>805</v>
      </c>
      <c r="V67" s="91">
        <v>810</v>
      </c>
      <c r="W67" s="91">
        <v>871</v>
      </c>
      <c r="X67" s="91">
        <v>924</v>
      </c>
      <c r="Y67" s="92">
        <v>970</v>
      </c>
      <c r="Z67" s="1091"/>
    </row>
    <row r="68" spans="1:26" ht="15">
      <c r="A68" s="97" t="s">
        <v>14</v>
      </c>
      <c r="B68" s="105">
        <f aca="true" t="shared" si="4" ref="B68:Q68">SUM(B51:B67)</f>
        <v>86142</v>
      </c>
      <c r="C68" s="105">
        <f t="shared" si="4"/>
        <v>87594</v>
      </c>
      <c r="D68" s="105">
        <f t="shared" si="4"/>
        <v>88966</v>
      </c>
      <c r="E68" s="105">
        <f t="shared" si="4"/>
        <v>90296</v>
      </c>
      <c r="F68" s="105">
        <f t="shared" si="4"/>
        <v>91642</v>
      </c>
      <c r="G68" s="105">
        <f t="shared" si="4"/>
        <v>93040</v>
      </c>
      <c r="H68" s="105">
        <f t="shared" si="4"/>
        <v>94501</v>
      </c>
      <c r="I68" s="105">
        <f t="shared" si="4"/>
        <v>96019</v>
      </c>
      <c r="J68" s="105">
        <f t="shared" si="4"/>
        <v>97572</v>
      </c>
      <c r="K68" s="105">
        <f t="shared" si="4"/>
        <v>99138</v>
      </c>
      <c r="L68" s="105">
        <f t="shared" si="4"/>
        <v>100700</v>
      </c>
      <c r="M68" s="105">
        <f t="shared" si="4"/>
        <v>102251</v>
      </c>
      <c r="N68" s="105">
        <f t="shared" si="4"/>
        <v>103796</v>
      </c>
      <c r="O68" s="105">
        <f t="shared" si="4"/>
        <v>105341</v>
      </c>
      <c r="P68" s="105">
        <f t="shared" si="4"/>
        <v>106887</v>
      </c>
      <c r="Q68" s="105">
        <f t="shared" si="4"/>
        <v>108436</v>
      </c>
      <c r="R68" s="105">
        <f>SUM(R51:R67)</f>
        <v>109988</v>
      </c>
      <c r="S68" s="105">
        <f>SUM(S51:S67)</f>
        <v>111537</v>
      </c>
      <c r="T68" s="105">
        <f aca="true" t="shared" si="5" ref="T68:Y68">SUM(T51:T67)</f>
        <v>113087</v>
      </c>
      <c r="U68" s="105">
        <f t="shared" si="5"/>
        <v>114624</v>
      </c>
      <c r="V68" s="105">
        <f t="shared" si="5"/>
        <v>116153</v>
      </c>
      <c r="W68" s="105">
        <f t="shared" si="5"/>
        <v>117667</v>
      </c>
      <c r="X68" s="105">
        <f t="shared" si="5"/>
        <v>119166</v>
      </c>
      <c r="Y68" s="105">
        <f t="shared" si="5"/>
        <v>120652</v>
      </c>
      <c r="Z68" s="109"/>
    </row>
    <row r="69" spans="1:25" ht="15">
      <c r="A69" s="21"/>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row>
    <row r="70" spans="1:25" ht="15">
      <c r="A70" s="97" t="s">
        <v>294</v>
      </c>
      <c r="B70" s="273"/>
      <c r="C70" s="396">
        <f>C68/B68-1</f>
        <v>0.016855889113324585</v>
      </c>
      <c r="D70" s="396">
        <f aca="true" t="shared" si="6" ref="D70:J70">D68/C68-1</f>
        <v>0.01566317327670852</v>
      </c>
      <c r="E70" s="396">
        <f t="shared" si="6"/>
        <v>0.014949531281613249</v>
      </c>
      <c r="F70" s="396">
        <f t="shared" si="6"/>
        <v>0.014906529635864363</v>
      </c>
      <c r="G70" s="396">
        <f t="shared" si="6"/>
        <v>0.015255014076515083</v>
      </c>
      <c r="H70" s="396">
        <f t="shared" si="6"/>
        <v>0.015702923473774666</v>
      </c>
      <c r="I70" s="396">
        <f t="shared" si="6"/>
        <v>0.016063322081247833</v>
      </c>
      <c r="J70" s="396">
        <f t="shared" si="6"/>
        <v>0.01617388225247085</v>
      </c>
      <c r="K70" s="470">
        <f>K68/J68-1</f>
        <v>0.016049686385438466</v>
      </c>
      <c r="L70" s="481">
        <f>L68/K68-1</f>
        <v>0.01575581512638946</v>
      </c>
      <c r="M70" s="481">
        <f aca="true" t="shared" si="7" ref="M70:S70">M68/L68-1</f>
        <v>0.015402184707050681</v>
      </c>
      <c r="N70" s="481">
        <f t="shared" si="7"/>
        <v>0.015109876676022704</v>
      </c>
      <c r="O70" s="481">
        <f t="shared" si="7"/>
        <v>0.014884966665382082</v>
      </c>
      <c r="P70" s="481">
        <f t="shared" si="7"/>
        <v>0.014676146989301309</v>
      </c>
      <c r="Q70" s="481">
        <f t="shared" si="7"/>
        <v>0.014491940086259314</v>
      </c>
      <c r="R70" s="481">
        <f t="shared" si="7"/>
        <v>0.014312589914788454</v>
      </c>
      <c r="S70" s="481">
        <f t="shared" si="7"/>
        <v>0.014083354547768767</v>
      </c>
      <c r="T70" s="481">
        <f aca="true" t="shared" si="8" ref="T70:Y70">T68/S68-1</f>
        <v>0.013896733819270812</v>
      </c>
      <c r="U70" s="481">
        <f t="shared" si="8"/>
        <v>0.013591305808801968</v>
      </c>
      <c r="V70" s="481">
        <f t="shared" si="8"/>
        <v>0.013339265773310904</v>
      </c>
      <c r="W70" s="481">
        <f t="shared" si="8"/>
        <v>0.013034532039637448</v>
      </c>
      <c r="X70" s="481">
        <f t="shared" si="8"/>
        <v>0.012739340681754419</v>
      </c>
      <c r="Y70" s="919">
        <f t="shared" si="8"/>
        <v>0.0124699998321669</v>
      </c>
    </row>
    <row r="71" spans="1:25" ht="15">
      <c r="A71" s="21"/>
      <c r="B71" s="21"/>
      <c r="C71" s="21"/>
      <c r="D71" s="480"/>
      <c r="E71" s="480"/>
      <c r="F71" s="480"/>
      <c r="G71" s="480"/>
      <c r="H71" s="480"/>
      <c r="I71" s="480"/>
      <c r="J71" s="480"/>
      <c r="K71" s="480"/>
      <c r="L71" s="21"/>
      <c r="M71" s="21"/>
      <c r="N71" s="21"/>
      <c r="O71" s="21"/>
      <c r="P71" s="21"/>
      <c r="Q71" s="21"/>
      <c r="R71" s="21"/>
      <c r="S71" s="21"/>
      <c r="T71" s="21"/>
      <c r="U71" s="21"/>
      <c r="V71" s="21"/>
      <c r="W71" s="21"/>
      <c r="X71" s="21"/>
      <c r="Y71" s="21"/>
    </row>
    <row r="72" spans="1:13" ht="15">
      <c r="A72" s="57" t="s">
        <v>127</v>
      </c>
      <c r="M72" s="110"/>
    </row>
    <row r="73" spans="1:25" ht="15">
      <c r="A73" s="81"/>
      <c r="B73" s="82">
        <v>2005</v>
      </c>
      <c r="C73" s="82">
        <v>2006</v>
      </c>
      <c r="D73" s="82">
        <v>2007</v>
      </c>
      <c r="E73" s="82">
        <v>2008</v>
      </c>
      <c r="F73" s="82">
        <v>2009</v>
      </c>
      <c r="G73" s="82">
        <v>2010</v>
      </c>
      <c r="H73" s="82">
        <v>2011</v>
      </c>
      <c r="I73" s="82">
        <v>2012</v>
      </c>
      <c r="J73" s="82">
        <v>2013</v>
      </c>
      <c r="K73" s="82">
        <v>2014</v>
      </c>
      <c r="L73" s="127">
        <v>2015</v>
      </c>
      <c r="M73" s="82">
        <v>2016</v>
      </c>
      <c r="N73" s="82">
        <v>2017</v>
      </c>
      <c r="O73" s="82">
        <v>2018</v>
      </c>
      <c r="P73" s="82">
        <v>2019</v>
      </c>
      <c r="Q73" s="82">
        <v>2020</v>
      </c>
      <c r="R73" s="82">
        <v>2021</v>
      </c>
      <c r="S73" s="82">
        <v>2022</v>
      </c>
      <c r="T73" s="82">
        <v>2023</v>
      </c>
      <c r="U73" s="82">
        <v>2024</v>
      </c>
      <c r="V73" s="82">
        <v>2025</v>
      </c>
      <c r="W73" s="82">
        <v>2026</v>
      </c>
      <c r="X73" s="82">
        <v>2027</v>
      </c>
      <c r="Y73" s="82">
        <v>2028</v>
      </c>
    </row>
    <row r="74" spans="1:26" ht="12.75" customHeight="1">
      <c r="A74" s="275" t="s">
        <v>113</v>
      </c>
      <c r="B74" s="84" t="s">
        <v>188</v>
      </c>
      <c r="C74" s="85">
        <v>17403</v>
      </c>
      <c r="D74" s="85">
        <f>D68/C75</f>
        <v>17675.586204534557</v>
      </c>
      <c r="E74" s="85">
        <f>E68/5</f>
        <v>18059.2</v>
      </c>
      <c r="F74" s="85">
        <v>18452</v>
      </c>
      <c r="G74" s="85">
        <v>20200</v>
      </c>
      <c r="H74" s="85"/>
      <c r="I74" s="85">
        <v>21426</v>
      </c>
      <c r="J74" s="85">
        <f>J68/J75</f>
        <v>21953.960101201035</v>
      </c>
      <c r="K74" s="101">
        <f>K68/K75</f>
        <v>22493.74213944577</v>
      </c>
      <c r="L74" s="86">
        <f>L68/L75</f>
        <v>23041.75677030022</v>
      </c>
      <c r="M74" s="86">
        <f>M68/M75</f>
        <v>23596.599663459503</v>
      </c>
      <c r="N74" s="86">
        <f aca="true" t="shared" si="9" ref="N74:R74">N68/N75</f>
        <v>24159.611195047597</v>
      </c>
      <c r="O74" s="86">
        <f t="shared" si="9"/>
        <v>24732.413142081175</v>
      </c>
      <c r="P74" s="86">
        <f t="shared" si="9"/>
        <v>25315.499961736055</v>
      </c>
      <c r="Q74" s="86">
        <f t="shared" si="9"/>
        <v>25909.622551420696</v>
      </c>
      <c r="R74" s="86">
        <f t="shared" si="9"/>
        <v>26515.076478347113</v>
      </c>
      <c r="S74" s="86">
        <f>S68/S75</f>
        <v>27130.7084954375</v>
      </c>
      <c r="T74" s="86">
        <f>T68/T75</f>
        <v>27507.73672972682</v>
      </c>
      <c r="U74" s="86">
        <f aca="true" t="shared" si="10" ref="U74:Y74">U68/U75</f>
        <v>27881.602791728557</v>
      </c>
      <c r="V74" s="86">
        <f t="shared" si="10"/>
        <v>28253.522901553315</v>
      </c>
      <c r="W74" s="86">
        <f t="shared" si="10"/>
        <v>28621.79435104624</v>
      </c>
      <c r="X74" s="86">
        <f t="shared" si="10"/>
        <v>28986.41714020733</v>
      </c>
      <c r="Y74" s="86">
        <f t="shared" si="10"/>
        <v>29347.877757080834</v>
      </c>
      <c r="Z74" s="1087" t="s">
        <v>441</v>
      </c>
    </row>
    <row r="75" spans="1:26" ht="15">
      <c r="A75" s="276" t="s">
        <v>114</v>
      </c>
      <c r="B75" s="89" t="s">
        <v>188</v>
      </c>
      <c r="C75" s="112">
        <f>C68/C74</f>
        <v>5.033270125840373</v>
      </c>
      <c r="D75" s="636">
        <f>D68/D74</f>
        <v>5.033270125840373</v>
      </c>
      <c r="E75" s="636">
        <f>E68/E74</f>
        <v>5</v>
      </c>
      <c r="F75" s="112">
        <f>F68/F74</f>
        <v>4.966507695642749</v>
      </c>
      <c r="G75" s="112">
        <f>G68/G74</f>
        <v>4.605940594059406</v>
      </c>
      <c r="H75" s="636"/>
      <c r="I75" s="112">
        <f>I68/I74</f>
        <v>4.481424437599179</v>
      </c>
      <c r="J75" s="112">
        <f>Calculations!J56</f>
        <v>4.444391788553088</v>
      </c>
      <c r="K75" s="466">
        <f>Calculations!K56</f>
        <v>4.4073591395069975</v>
      </c>
      <c r="L75" s="278">
        <f>Calculations!L56</f>
        <v>4.370326490460907</v>
      </c>
      <c r="M75" s="278">
        <f>Calculations!M56</f>
        <v>4.333293841414816</v>
      </c>
      <c r="N75" s="278">
        <f>Calculations!N56</f>
        <v>4.296261192368726</v>
      </c>
      <c r="O75" s="278">
        <f>Calculations!O56</f>
        <v>4.259228543322635</v>
      </c>
      <c r="P75" s="278">
        <f>Calculations!P56</f>
        <v>4.2221958942765445</v>
      </c>
      <c r="Q75" s="278">
        <f>Calculations!Q56</f>
        <v>4.185163245230454</v>
      </c>
      <c r="R75" s="278">
        <f>Calculations!R56</f>
        <v>4.148130596184363</v>
      </c>
      <c r="S75" s="278">
        <f>Calculations!S56</f>
        <v>4.111097947138273</v>
      </c>
      <c r="T75" s="278">
        <f aca="true" t="shared" si="11" ref="T75:Y75">S75</f>
        <v>4.111097947138273</v>
      </c>
      <c r="U75" s="278">
        <f t="shared" si="11"/>
        <v>4.111097947138273</v>
      </c>
      <c r="V75" s="278">
        <f t="shared" si="11"/>
        <v>4.111097947138273</v>
      </c>
      <c r="W75" s="278">
        <f t="shared" si="11"/>
        <v>4.111097947138273</v>
      </c>
      <c r="X75" s="278">
        <f t="shared" si="11"/>
        <v>4.111097947138273</v>
      </c>
      <c r="Y75" s="945">
        <f t="shared" si="11"/>
        <v>4.111097947138273</v>
      </c>
      <c r="Z75" s="1088"/>
    </row>
    <row r="76" spans="1:25" ht="15">
      <c r="A76" s="276"/>
      <c r="B76" s="111"/>
      <c r="C76" s="41"/>
      <c r="D76" s="41"/>
      <c r="E76" s="41"/>
      <c r="F76" s="635"/>
      <c r="G76" s="41"/>
      <c r="H76" s="41"/>
      <c r="I76" s="41"/>
      <c r="J76" s="41"/>
      <c r="K76" s="42"/>
      <c r="L76" s="41"/>
      <c r="M76" s="41"/>
      <c r="N76" s="41"/>
      <c r="O76" s="41"/>
      <c r="P76" s="41"/>
      <c r="Q76" s="41"/>
      <c r="R76" s="41"/>
      <c r="S76" s="41"/>
      <c r="T76" s="41"/>
      <c r="U76" s="41"/>
      <c r="V76" s="41"/>
      <c r="W76" s="41"/>
      <c r="X76" s="41"/>
      <c r="Y76" s="42"/>
    </row>
    <row r="77" spans="1:27" ht="15" customHeight="1">
      <c r="A77" s="276" t="s">
        <v>128</v>
      </c>
      <c r="B77" s="89" t="s">
        <v>188</v>
      </c>
      <c r="C77" s="90"/>
      <c r="D77" s="90"/>
      <c r="E77" s="90"/>
      <c r="F77" s="910">
        <f>G77/G68</f>
        <v>0.015505008598452278</v>
      </c>
      <c r="G77" s="90">
        <v>1442.586</v>
      </c>
      <c r="H77" s="90">
        <f>($G$77/$G$68)*H68</f>
        <v>1465.2388175623387</v>
      </c>
      <c r="I77" s="90">
        <f>($G$77/$G$68)*I68</f>
        <v>1488.7754206147893</v>
      </c>
      <c r="J77" s="90">
        <f aca="true" t="shared" si="12" ref="J77:R77">($G$77/$G$68)*J68</f>
        <v>1512.8546989681856</v>
      </c>
      <c r="K77" s="102">
        <f>($G$77/$G$68)*K68</f>
        <v>1537.135542433362</v>
      </c>
      <c r="L77" s="91">
        <f>($G$77/$G$68)*L68</f>
        <v>1561.3543658641445</v>
      </c>
      <c r="M77" s="91">
        <f t="shared" si="12"/>
        <v>1585.402634200344</v>
      </c>
      <c r="N77" s="91">
        <f t="shared" si="12"/>
        <v>1609.3578724849526</v>
      </c>
      <c r="O77" s="91">
        <f t="shared" si="12"/>
        <v>1633.3131107695615</v>
      </c>
      <c r="P77" s="91">
        <f t="shared" si="12"/>
        <v>1657.2838540627686</v>
      </c>
      <c r="Q77" s="91">
        <f t="shared" si="12"/>
        <v>1681.3011123817712</v>
      </c>
      <c r="R77" s="91">
        <f t="shared" si="12"/>
        <v>1705.3648857265691</v>
      </c>
      <c r="S77" s="91">
        <f>($G$77/$G$68)*S68</f>
        <v>1729.3821440455717</v>
      </c>
      <c r="T77" s="91">
        <f aca="true" t="shared" si="13" ref="T77:Y77">($G$77/$G$68)*T68</f>
        <v>1753.4149073731728</v>
      </c>
      <c r="U77" s="91">
        <f t="shared" si="13"/>
        <v>1777.246105588994</v>
      </c>
      <c r="V77" s="91">
        <f t="shared" si="13"/>
        <v>1800.9532637360273</v>
      </c>
      <c r="W77" s="91">
        <f t="shared" si="13"/>
        <v>1824.4278467540842</v>
      </c>
      <c r="X77" s="91">
        <f t="shared" si="13"/>
        <v>1847.6698546431642</v>
      </c>
      <c r="Y77" s="91">
        <f t="shared" si="13"/>
        <v>1870.7102974204643</v>
      </c>
      <c r="Z77" s="1087" t="s">
        <v>378</v>
      </c>
      <c r="AA77" s="319"/>
    </row>
    <row r="78" spans="1:27" ht="15" customHeight="1">
      <c r="A78" s="419" t="s">
        <v>374</v>
      </c>
      <c r="B78" s="89"/>
      <c r="C78" s="90"/>
      <c r="D78" s="90"/>
      <c r="E78" s="90"/>
      <c r="F78" s="90"/>
      <c r="G78" s="668">
        <v>0.189</v>
      </c>
      <c r="H78" s="90"/>
      <c r="I78" s="90"/>
      <c r="J78" s="90"/>
      <c r="K78" s="102"/>
      <c r="L78" s="91"/>
      <c r="M78" s="91"/>
      <c r="N78" s="91"/>
      <c r="O78" s="91"/>
      <c r="P78" s="91"/>
      <c r="Q78" s="91"/>
      <c r="R78" s="91"/>
      <c r="S78" s="91"/>
      <c r="T78" s="91"/>
      <c r="U78" s="91"/>
      <c r="V78" s="91"/>
      <c r="W78" s="91"/>
      <c r="X78" s="91"/>
      <c r="Y78" s="92"/>
      <c r="Z78" s="1087"/>
      <c r="AA78" s="319"/>
    </row>
    <row r="79" spans="1:27" ht="15" customHeight="1">
      <c r="A79" s="419" t="s">
        <v>375</v>
      </c>
      <c r="B79" s="89"/>
      <c r="C79" s="90"/>
      <c r="D79" s="90"/>
      <c r="E79" s="90"/>
      <c r="F79" s="90"/>
      <c r="G79" s="668">
        <v>0.4</v>
      </c>
      <c r="H79" s="90"/>
      <c r="I79" s="90"/>
      <c r="J79" s="90"/>
      <c r="K79" s="102"/>
      <c r="L79" s="91"/>
      <c r="M79" s="91"/>
      <c r="N79" s="91"/>
      <c r="O79" s="91"/>
      <c r="P79" s="91"/>
      <c r="Q79" s="91"/>
      <c r="R79" s="91"/>
      <c r="S79" s="91"/>
      <c r="T79" s="91"/>
      <c r="U79" s="91"/>
      <c r="V79" s="91"/>
      <c r="W79" s="91"/>
      <c r="X79" s="91"/>
      <c r="Y79" s="92"/>
      <c r="Z79" s="1087"/>
      <c r="AA79" s="319"/>
    </row>
    <row r="80" spans="1:27" ht="15" customHeight="1">
      <c r="A80" s="419" t="s">
        <v>376</v>
      </c>
      <c r="B80" s="89"/>
      <c r="C80" s="90"/>
      <c r="D80" s="90"/>
      <c r="E80" s="90"/>
      <c r="F80" s="90"/>
      <c r="G80" s="668">
        <v>0.19</v>
      </c>
      <c r="H80" s="90"/>
      <c r="I80" s="90"/>
      <c r="J80" s="90"/>
      <c r="K80" s="102"/>
      <c r="L80" s="91"/>
      <c r="M80" s="91"/>
      <c r="N80" s="91"/>
      <c r="O80" s="91"/>
      <c r="P80" s="91"/>
      <c r="Q80" s="91"/>
      <c r="R80" s="91"/>
      <c r="S80" s="91"/>
      <c r="T80" s="91"/>
      <c r="U80" s="91"/>
      <c r="V80" s="91"/>
      <c r="W80" s="91"/>
      <c r="X80" s="91"/>
      <c r="Y80" s="92"/>
      <c r="Z80" s="1087"/>
      <c r="AA80" s="700"/>
    </row>
    <row r="81" spans="1:27" ht="15" customHeight="1">
      <c r="A81" s="419" t="s">
        <v>377</v>
      </c>
      <c r="B81" s="89"/>
      <c r="C81" s="90"/>
      <c r="D81" s="90"/>
      <c r="E81" s="90"/>
      <c r="F81" s="90"/>
      <c r="G81" s="668">
        <v>0.221</v>
      </c>
      <c r="H81" s="90"/>
      <c r="I81" s="90"/>
      <c r="J81" s="90"/>
      <c r="K81" s="102"/>
      <c r="L81" s="91"/>
      <c r="M81" s="91"/>
      <c r="N81" s="91"/>
      <c r="O81" s="91"/>
      <c r="P81" s="91"/>
      <c r="Q81" s="91"/>
      <c r="R81" s="91"/>
      <c r="S81" s="91"/>
      <c r="T81" s="91"/>
      <c r="U81" s="91"/>
      <c r="V81" s="91"/>
      <c r="W81" s="91"/>
      <c r="X81" s="91"/>
      <c r="Y81" s="92"/>
      <c r="Z81" s="1087"/>
      <c r="AA81" s="700"/>
    </row>
    <row r="82" spans="1:25" ht="15">
      <c r="A82" s="276"/>
      <c r="B82" s="111"/>
      <c r="C82" s="41"/>
      <c r="D82" s="41"/>
      <c r="E82" s="41"/>
      <c r="F82" s="635"/>
      <c r="G82" s="41"/>
      <c r="H82" s="41"/>
      <c r="I82" s="41"/>
      <c r="J82" s="41"/>
      <c r="K82" s="42"/>
      <c r="L82" s="41"/>
      <c r="M82" s="41"/>
      <c r="N82" s="41"/>
      <c r="O82" s="41"/>
      <c r="P82" s="41"/>
      <c r="Q82" s="41"/>
      <c r="R82" s="41"/>
      <c r="S82" s="41"/>
      <c r="T82" s="41"/>
      <c r="U82" s="41"/>
      <c r="V82" s="41"/>
      <c r="W82" s="41"/>
      <c r="X82" s="41"/>
      <c r="Y82" s="42"/>
    </row>
    <row r="83" spans="1:26" ht="12.75" customHeight="1">
      <c r="A83" s="506" t="s">
        <v>189</v>
      </c>
      <c r="B83" s="90">
        <f>SUM(B84:B86)</f>
        <v>17528.338</v>
      </c>
      <c r="C83" s="90">
        <f>SUM(C84:C86)</f>
        <v>17730.073</v>
      </c>
      <c r="D83" s="90">
        <f>SUM(D84:D86)</f>
        <v>18083.28</v>
      </c>
      <c r="E83" s="90">
        <f aca="true" t="shared" si="14" ref="E83:J83">SUM(E84:E86)</f>
        <v>18742.511</v>
      </c>
      <c r="F83" s="90">
        <f t="shared" si="14"/>
        <v>19244.86</v>
      </c>
      <c r="G83" s="90">
        <f t="shared" si="14"/>
        <v>19748.332000000002</v>
      </c>
      <c r="H83" s="90">
        <f t="shared" si="14"/>
        <v>20475.476000000002</v>
      </c>
      <c r="I83" s="90">
        <f t="shared" si="14"/>
        <v>20658.368</v>
      </c>
      <c r="J83" s="90">
        <f t="shared" si="14"/>
        <v>22789.193</v>
      </c>
      <c r="K83" s="102">
        <f>SUM(K84:K86)</f>
        <v>21003.578999999998</v>
      </c>
      <c r="L83" s="91">
        <f>SUM(L84:L86)</f>
        <v>22687.574399999998</v>
      </c>
      <c r="M83" s="91">
        <f aca="true" t="shared" si="15" ref="M83:Y83">SUM(M84:M86)</f>
        <v>23306.698800000002</v>
      </c>
      <c r="N83" s="91">
        <f>SUM(N84:N86)</f>
        <v>23925.372</v>
      </c>
      <c r="O83" s="91">
        <f t="shared" si="15"/>
        <v>24549.4944</v>
      </c>
      <c r="P83" s="91">
        <f t="shared" si="15"/>
        <v>25184.304</v>
      </c>
      <c r="Q83" s="91">
        <f t="shared" si="15"/>
        <v>25833.0756</v>
      </c>
      <c r="R83" s="91">
        <f t="shared" si="15"/>
        <v>26493.264</v>
      </c>
      <c r="S83" s="91">
        <f t="shared" si="15"/>
        <v>27167.641799999998</v>
      </c>
      <c r="T83" s="91">
        <f t="shared" si="15"/>
        <v>27852.888</v>
      </c>
      <c r="U83" s="91">
        <f t="shared" si="15"/>
        <v>28539.018</v>
      </c>
      <c r="V83" s="91">
        <f t="shared" si="15"/>
        <v>29221.171199999997</v>
      </c>
      <c r="W83" s="91">
        <f t="shared" si="15"/>
        <v>29910.051</v>
      </c>
      <c r="X83" s="91">
        <f t="shared" si="15"/>
        <v>30596.2668</v>
      </c>
      <c r="Y83" s="91">
        <f t="shared" si="15"/>
        <v>31274.5818</v>
      </c>
      <c r="Z83" s="1087" t="s">
        <v>443</v>
      </c>
    </row>
    <row r="84" spans="1:26" ht="15">
      <c r="A84" s="591" t="s">
        <v>383</v>
      </c>
      <c r="B84" s="740">
        <v>524.075</v>
      </c>
      <c r="C84" s="741">
        <v>561.207</v>
      </c>
      <c r="D84" s="741">
        <v>591.445</v>
      </c>
      <c r="E84" s="741">
        <v>746.443</v>
      </c>
      <c r="F84" s="741">
        <v>1049.035</v>
      </c>
      <c r="G84" s="741">
        <v>1217.939</v>
      </c>
      <c r="H84" s="741">
        <v>1671.227</v>
      </c>
      <c r="I84" s="741">
        <v>1727.033</v>
      </c>
      <c r="J84" s="741">
        <v>1865.807</v>
      </c>
      <c r="K84" s="742">
        <v>1812.96</v>
      </c>
      <c r="L84" s="743">
        <f>Calculations!L61</f>
        <v>2169.7848</v>
      </c>
      <c r="M84" s="743">
        <f>Calculations!M61</f>
        <v>2361.303</v>
      </c>
      <c r="N84" s="743">
        <f>Calculations!N61</f>
        <v>2554.2644999999998</v>
      </c>
      <c r="O84" s="743">
        <f>Calculations!O61</f>
        <v>2749.2336</v>
      </c>
      <c r="P84" s="743">
        <f>Calculations!P61</f>
        <v>2946.8232</v>
      </c>
      <c r="Q84" s="743">
        <f>Calculations!Q61</f>
        <v>3147.5082</v>
      </c>
      <c r="R84" s="743">
        <f>Calculations!R61</f>
        <v>3351.0824999999995</v>
      </c>
      <c r="S84" s="743">
        <f>Calculations!S61</f>
        <v>3557.9822999999997</v>
      </c>
      <c r="T84" s="743">
        <f>Calculations!T61</f>
        <v>3767.862</v>
      </c>
      <c r="U84" s="743">
        <f>Calculations!U61</f>
        <v>3979.3841999999995</v>
      </c>
      <c r="V84" s="743">
        <f>Calculations!V61</f>
        <v>4191.7824</v>
      </c>
      <c r="W84" s="743">
        <f>Calculations!W61</f>
        <v>4406.5125</v>
      </c>
      <c r="X84" s="743">
        <f>Calculations!X61</f>
        <v>4622.163299999999</v>
      </c>
      <c r="Y84" s="743">
        <f>Calculations!Y61</f>
        <v>4837.829699999999</v>
      </c>
      <c r="Z84" s="1087"/>
    </row>
    <row r="85" spans="1:26" ht="15">
      <c r="A85" s="591" t="s">
        <v>285</v>
      </c>
      <c r="B85" s="740">
        <v>11990.686</v>
      </c>
      <c r="C85" s="741">
        <v>12096.656</v>
      </c>
      <c r="D85" s="741">
        <v>12318.505</v>
      </c>
      <c r="E85" s="741">
        <v>12574.506</v>
      </c>
      <c r="F85" s="741">
        <v>12780.327</v>
      </c>
      <c r="G85" s="741">
        <v>13002.994</v>
      </c>
      <c r="H85" s="741">
        <v>13228.304</v>
      </c>
      <c r="I85" s="741">
        <v>13288.608</v>
      </c>
      <c r="J85" s="741">
        <v>15150.119</v>
      </c>
      <c r="K85" s="742">
        <v>13264.588</v>
      </c>
      <c r="L85" s="743">
        <f>Calculations!L63</f>
        <v>14439.854399999998</v>
      </c>
      <c r="M85" s="743">
        <f>Calculations!M63</f>
        <v>14742.189000000002</v>
      </c>
      <c r="N85" s="743">
        <f>Calculations!N63</f>
        <v>15043.206</v>
      </c>
      <c r="O85" s="743">
        <f>Calculations!O63</f>
        <v>15346.660800000001</v>
      </c>
      <c r="P85" s="743">
        <f>Calculations!P63</f>
        <v>15655.8096</v>
      </c>
      <c r="Q85" s="743">
        <f>Calculations!Q63</f>
        <v>15972.624600000001</v>
      </c>
      <c r="R85" s="743">
        <f>Calculations!R63</f>
        <v>16295.46</v>
      </c>
      <c r="S85" s="743">
        <f>Calculations!S63</f>
        <v>16625.9619</v>
      </c>
      <c r="T85" s="743">
        <f>Calculations!T63</f>
        <v>16962.036</v>
      </c>
      <c r="U85" s="743">
        <f>Calculations!U63</f>
        <v>17297.5926</v>
      </c>
      <c r="V85" s="743">
        <f>Calculations!V63</f>
        <v>17629.747199999998</v>
      </c>
      <c r="W85" s="743">
        <f>Calculations!W63</f>
        <v>17965.0125</v>
      </c>
      <c r="X85" s="743">
        <f>Calculations!X63</f>
        <v>18297.7674</v>
      </c>
      <c r="Y85" s="743">
        <f>Calculations!Y63</f>
        <v>18624.9591</v>
      </c>
      <c r="Z85" s="1087"/>
    </row>
    <row r="86" spans="1:26" ht="15">
      <c r="A86" s="858" t="s">
        <v>286</v>
      </c>
      <c r="B86" s="859">
        <v>5013.577</v>
      </c>
      <c r="C86" s="860">
        <v>5072.21</v>
      </c>
      <c r="D86" s="860">
        <v>5173.33</v>
      </c>
      <c r="E86" s="860">
        <v>5421.562</v>
      </c>
      <c r="F86" s="860">
        <v>5415.498</v>
      </c>
      <c r="G86" s="860">
        <v>5527.399</v>
      </c>
      <c r="H86" s="860">
        <v>5575.945</v>
      </c>
      <c r="I86" s="860">
        <v>5642.727</v>
      </c>
      <c r="J86" s="860">
        <v>5773.267</v>
      </c>
      <c r="K86" s="861">
        <v>5926.031</v>
      </c>
      <c r="L86" s="862">
        <f>Calculations!L65</f>
        <v>6077.9352</v>
      </c>
      <c r="M86" s="862">
        <f>Calculations!M65</f>
        <v>6203.206799999999</v>
      </c>
      <c r="N86" s="862">
        <f>Calculations!N65</f>
        <v>6327.9015</v>
      </c>
      <c r="O86" s="862">
        <f>Calculations!O65</f>
        <v>6453.599999999999</v>
      </c>
      <c r="P86" s="862">
        <f>Calculations!P65</f>
        <v>6581.671200000001</v>
      </c>
      <c r="Q86" s="862">
        <f>Calculations!Q65</f>
        <v>6712.9428</v>
      </c>
      <c r="R86" s="862">
        <f>Calculations!R65</f>
        <v>6846.7215</v>
      </c>
      <c r="S86" s="862">
        <f>Calculations!S65</f>
        <v>6983.6975999999995</v>
      </c>
      <c r="T86" s="862">
        <f>Calculations!T65</f>
        <v>7122.99</v>
      </c>
      <c r="U86" s="862">
        <f>Calculations!U65</f>
        <v>7262.0412</v>
      </c>
      <c r="V86" s="862">
        <f>Calculations!V65</f>
        <v>7399.641600000001</v>
      </c>
      <c r="W86" s="862">
        <f>Calculations!W65</f>
        <v>7538.526</v>
      </c>
      <c r="X86" s="862">
        <f>Calculations!X65</f>
        <v>7676.3360999999995</v>
      </c>
      <c r="Y86" s="862">
        <f>Calculations!Y65</f>
        <v>7811.793</v>
      </c>
      <c r="Z86" s="1087"/>
    </row>
    <row r="87" spans="1:26" ht="15">
      <c r="A87" s="808" t="s">
        <v>447</v>
      </c>
      <c r="B87" s="809"/>
      <c r="C87" s="810">
        <f>C83/B83-1</f>
        <v>0.011509077472148244</v>
      </c>
      <c r="D87" s="810">
        <f aca="true" t="shared" si="16" ref="D87:S87">D83/C83-1</f>
        <v>0.019921350577631447</v>
      </c>
      <c r="E87" s="810">
        <f t="shared" si="16"/>
        <v>0.0364552780247831</v>
      </c>
      <c r="F87" s="810">
        <f t="shared" si="16"/>
        <v>0.02680265200324561</v>
      </c>
      <c r="G87" s="810">
        <f t="shared" si="16"/>
        <v>0.026161375037282664</v>
      </c>
      <c r="H87" s="810">
        <f t="shared" si="16"/>
        <v>0.036820527424797245</v>
      </c>
      <c r="I87" s="810">
        <f t="shared" si="16"/>
        <v>0.008932246556807577</v>
      </c>
      <c r="J87" s="810">
        <f t="shared" si="16"/>
        <v>0.10314585353499361</v>
      </c>
      <c r="K87" s="811">
        <f t="shared" si="16"/>
        <v>-0.07835354240055803</v>
      </c>
      <c r="L87" s="810">
        <f t="shared" si="16"/>
        <v>0.080176592760691</v>
      </c>
      <c r="M87" s="810">
        <f>M83/L83-1</f>
        <v>0.027289140261728573</v>
      </c>
      <c r="N87" s="810">
        <f t="shared" si="16"/>
        <v>0.026544866148096258</v>
      </c>
      <c r="O87" s="810">
        <f>O83/N83-1</f>
        <v>0.02608621508580944</v>
      </c>
      <c r="P87" s="810">
        <f t="shared" si="16"/>
        <v>0.025858357392484654</v>
      </c>
      <c r="Q87" s="810">
        <f t="shared" si="16"/>
        <v>0.025760950153714823</v>
      </c>
      <c r="R87" s="810">
        <f t="shared" si="16"/>
        <v>0.025555934965792337</v>
      </c>
      <c r="S87" s="810">
        <f t="shared" si="16"/>
        <v>0.025454689161743094</v>
      </c>
      <c r="T87" s="810">
        <f aca="true" t="shared" si="17" ref="T87:Y87">T83/S83-1</f>
        <v>0.025222881140902098</v>
      </c>
      <c r="U87" s="810">
        <f t="shared" si="17"/>
        <v>0.024634070262301133</v>
      </c>
      <c r="V87" s="810">
        <f t="shared" si="17"/>
        <v>0.023902476251985938</v>
      </c>
      <c r="W87" s="810">
        <f t="shared" si="17"/>
        <v>0.023574681359794347</v>
      </c>
      <c r="X87" s="810">
        <f t="shared" si="17"/>
        <v>0.022942648944329846</v>
      </c>
      <c r="Y87" s="810">
        <f t="shared" si="17"/>
        <v>0.02216986158585854</v>
      </c>
      <c r="Z87" s="1087"/>
    </row>
    <row r="88" spans="1:26" ht="15">
      <c r="A88" s="380"/>
      <c r="B88" s="381"/>
      <c r="C88" s="381"/>
      <c r="D88" s="381"/>
      <c r="E88" s="381"/>
      <c r="F88" s="381"/>
      <c r="G88" s="381"/>
      <c r="H88" s="381"/>
      <c r="I88" s="381"/>
      <c r="J88" s="381" t="s">
        <v>640</v>
      </c>
      <c r="K88" s="381"/>
      <c r="L88" s="381"/>
      <c r="M88" s="381"/>
      <c r="N88" s="381"/>
      <c r="O88" s="381"/>
      <c r="P88" s="381"/>
      <c r="Q88" s="381"/>
      <c r="R88" s="381"/>
      <c r="S88" s="381"/>
      <c r="T88" s="381"/>
      <c r="U88" s="381"/>
      <c r="V88" s="381"/>
      <c r="W88" s="381"/>
      <c r="X88" s="381"/>
      <c r="Y88" s="381"/>
      <c r="Z88" s="376"/>
    </row>
    <row r="89" spans="1:25" ht="15">
      <c r="A89" s="57" t="s">
        <v>243</v>
      </c>
      <c r="B89" s="41"/>
      <c r="C89" s="41"/>
      <c r="D89" s="41"/>
      <c r="E89" s="41"/>
      <c r="F89" s="113"/>
      <c r="G89" s="41"/>
      <c r="H89" s="41"/>
      <c r="I89" s="150">
        <f>I74*ECO!I56</f>
        <v>5399.352</v>
      </c>
      <c r="J89" s="1070">
        <f>I105/I89</f>
        <v>0.5741429712306217</v>
      </c>
      <c r="K89" s="41"/>
      <c r="L89" s="41"/>
      <c r="M89" s="41"/>
      <c r="N89" s="41"/>
      <c r="O89" s="41"/>
      <c r="P89" s="41"/>
      <c r="Q89" s="41"/>
      <c r="R89" s="41"/>
      <c r="S89" s="41"/>
      <c r="T89" s="41"/>
      <c r="U89" s="41"/>
      <c r="V89" s="41"/>
      <c r="W89" s="41"/>
      <c r="X89" s="41"/>
      <c r="Y89" s="915"/>
    </row>
    <row r="90" spans="1:25" ht="15">
      <c r="A90" s="81"/>
      <c r="B90" s="82">
        <v>2005</v>
      </c>
      <c r="C90" s="82">
        <v>2006</v>
      </c>
      <c r="D90" s="82">
        <v>2007</v>
      </c>
      <c r="E90" s="82">
        <v>2008</v>
      </c>
      <c r="F90" s="82">
        <v>2009</v>
      </c>
      <c r="G90" s="82">
        <v>2010</v>
      </c>
      <c r="H90" s="82">
        <v>2011</v>
      </c>
      <c r="I90" s="82">
        <v>2012</v>
      </c>
      <c r="J90" s="82">
        <v>2013</v>
      </c>
      <c r="K90" s="82">
        <v>2014</v>
      </c>
      <c r="L90" s="127">
        <v>2015</v>
      </c>
      <c r="M90" s="82">
        <v>2016</v>
      </c>
      <c r="N90" s="82">
        <v>2017</v>
      </c>
      <c r="O90" s="82">
        <v>2018</v>
      </c>
      <c r="P90" s="82">
        <v>2019</v>
      </c>
      <c r="Q90" s="82">
        <v>2020</v>
      </c>
      <c r="R90" s="82">
        <v>2021</v>
      </c>
      <c r="S90" s="82">
        <v>2022</v>
      </c>
      <c r="T90" s="82">
        <v>2023</v>
      </c>
      <c r="U90" s="82">
        <v>2024</v>
      </c>
      <c r="V90" s="82">
        <v>2025</v>
      </c>
      <c r="W90" s="82">
        <v>2026</v>
      </c>
      <c r="X90" s="82">
        <v>2027</v>
      </c>
      <c r="Y90" s="82">
        <v>2028</v>
      </c>
    </row>
    <row r="91" spans="1:26" ht="15">
      <c r="A91" s="382" t="s">
        <v>190</v>
      </c>
      <c r="B91" s="149">
        <v>1154.333</v>
      </c>
      <c r="C91" s="150">
        <v>1340.62</v>
      </c>
      <c r="D91" s="150">
        <v>1702.307</v>
      </c>
      <c r="E91" s="150">
        <v>1812.528</v>
      </c>
      <c r="F91" s="150">
        <v>1903.793</v>
      </c>
      <c r="G91" s="150">
        <v>1344.371</v>
      </c>
      <c r="H91" s="150">
        <v>1332.751</v>
      </c>
      <c r="I91" s="150">
        <v>1601</v>
      </c>
      <c r="J91" s="150">
        <v>1766</v>
      </c>
      <c r="K91" s="176">
        <v>1785.6799</v>
      </c>
      <c r="L91" s="689">
        <f>L92*SUM(POP!L$54:L$67)</f>
        <v>1775.1949871387355</v>
      </c>
      <c r="M91" s="151">
        <f>M92*SUM(POP!M$54:M$67)</f>
        <v>1809.1560049437041</v>
      </c>
      <c r="N91" s="151">
        <f>N92*SUM(POP!N$54:N$67)</f>
        <v>1842.9615947495652</v>
      </c>
      <c r="O91" s="151">
        <f>O92*SUM(POP!O$54:O$67)</f>
        <v>1876.7671845554264</v>
      </c>
      <c r="P91" s="151">
        <f>P92*SUM(POP!P$54:P$67)</f>
        <v>1910.650488360841</v>
      </c>
      <c r="Q91" s="151">
        <f>Q92*SUM(POP!Q$54:Q$67)</f>
        <v>1944.7410294983993</v>
      </c>
      <c r="R91" s="151">
        <f>R92*SUM(POP!R$54:R$67)</f>
        <v>1979.0388079681004</v>
      </c>
      <c r="S91" s="151">
        <f>S92*SUM(POP!S$54:S$67)</f>
        <v>2013.3883957708374</v>
      </c>
      <c r="T91" s="151">
        <f>T92*SUM(POP!T$54:T$67)</f>
        <v>2047.9970302387535</v>
      </c>
      <c r="U91" s="151">
        <f>U92*SUM(POP!U$54:U$67)</f>
        <v>2082.8388067053306</v>
      </c>
      <c r="V91" s="151">
        <f>V92*SUM(POP!V$54:V$67)</f>
        <v>2118.1209625027122</v>
      </c>
      <c r="W91" s="151">
        <f>W92*SUM(POP!W$54:W$67)</f>
        <v>2153.066357635361</v>
      </c>
      <c r="X91" s="151">
        <f>X92*SUM(POP!X$54:X$67)</f>
        <v>2188.167180767117</v>
      </c>
      <c r="Y91" s="151">
        <f>Y92*SUM(POP!Y$54:Y$67)</f>
        <v>2223.578859897088</v>
      </c>
      <c r="Z91" s="1086" t="s">
        <v>470</v>
      </c>
    </row>
    <row r="92" spans="1:26" ht="15">
      <c r="A92" s="383" t="s">
        <v>194</v>
      </c>
      <c r="B92" s="384">
        <f>B$91/SUM(POP!B$54:B$67)</f>
        <v>0.021303945814262513</v>
      </c>
      <c r="C92" s="329">
        <f>C$91/SUM(POP!C$54:C$67)</f>
        <v>0.024117509489628867</v>
      </c>
      <c r="D92" s="329">
        <f>D$91/SUM(POP!D$54:D$67)</f>
        <v>0.029857701617146667</v>
      </c>
      <c r="E92" s="329">
        <f>E$91/SUM(POP!E$54:E$67)</f>
        <v>0.030972795625427204</v>
      </c>
      <c r="F92" s="329">
        <f>F$91/SUM(POP!F$54:F$67)</f>
        <v>0.03166760371269836</v>
      </c>
      <c r="G92" s="329">
        <f>G$91/SUM(POP!G$54:G$67)</f>
        <v>0.02176449351616507</v>
      </c>
      <c r="H92" s="329">
        <f>H$91/SUM(POP!H$54:H$67)</f>
        <v>0.021124264950626873</v>
      </c>
      <c r="I92" s="329">
        <f>I$91/SUM(POP!I$54:I$67)</f>
        <v>0.02483633768731966</v>
      </c>
      <c r="J92" s="329">
        <f>J$91/SUM(POP!J$54:J$67)</f>
        <v>0.026825044809672814</v>
      </c>
      <c r="K92" s="581">
        <f>K$91/SUM(POP!K$54:K$67)</f>
        <v>0.026576967956064238</v>
      </c>
      <c r="L92" s="420">
        <f>AVERAGE(B92:K92)</f>
        <v>0.025904666517901232</v>
      </c>
      <c r="M92" s="420">
        <f>L92</f>
        <v>0.025904666517901232</v>
      </c>
      <c r="N92" s="420">
        <f aca="true" t="shared" si="18" ref="N92:R92">M92</f>
        <v>0.025904666517901232</v>
      </c>
      <c r="O92" s="420">
        <f t="shared" si="18"/>
        <v>0.025904666517901232</v>
      </c>
      <c r="P92" s="420">
        <f t="shared" si="18"/>
        <v>0.025904666517901232</v>
      </c>
      <c r="Q92" s="420">
        <f t="shared" si="18"/>
        <v>0.025904666517901232</v>
      </c>
      <c r="R92" s="420">
        <f t="shared" si="18"/>
        <v>0.025904666517901232</v>
      </c>
      <c r="S92" s="420">
        <f>R92</f>
        <v>0.025904666517901232</v>
      </c>
      <c r="T92" s="420">
        <f aca="true" t="shared" si="19" ref="T92:Y92">S92</f>
        <v>0.025904666517901232</v>
      </c>
      <c r="U92" s="420">
        <f t="shared" si="19"/>
        <v>0.025904666517901232</v>
      </c>
      <c r="V92" s="420">
        <f t="shared" si="19"/>
        <v>0.025904666517901232</v>
      </c>
      <c r="W92" s="420">
        <f t="shared" si="19"/>
        <v>0.025904666517901232</v>
      </c>
      <c r="X92" s="420">
        <f t="shared" si="19"/>
        <v>0.025904666517901232</v>
      </c>
      <c r="Y92" s="420">
        <f t="shared" si="19"/>
        <v>0.025904666517901232</v>
      </c>
      <c r="Z92" s="1086"/>
    </row>
    <row r="93" spans="1:26" ht="14.25" customHeight="1" hidden="1">
      <c r="A93" s="157" t="s">
        <v>193</v>
      </c>
      <c r="B93" s="158"/>
      <c r="C93" s="159"/>
      <c r="D93" s="159"/>
      <c r="E93" s="159">
        <f>58.024+12.117+146.799</f>
        <v>216.94</v>
      </c>
      <c r="F93" s="159">
        <v>755.242</v>
      </c>
      <c r="G93" s="159">
        <f>142.282+36.7+363.842</f>
        <v>542.8240000000001</v>
      </c>
      <c r="H93" s="159"/>
      <c r="I93" s="159">
        <f>211.465+42.542+534.433</f>
        <v>788.44</v>
      </c>
      <c r="J93" s="159"/>
      <c r="K93" s="471"/>
      <c r="L93" s="160"/>
      <c r="M93" s="160"/>
      <c r="N93" s="160"/>
      <c r="O93" s="160"/>
      <c r="P93" s="160"/>
      <c r="Q93" s="160"/>
      <c r="R93" s="160"/>
      <c r="S93" s="160"/>
      <c r="T93" s="160"/>
      <c r="U93" s="160"/>
      <c r="V93" s="160"/>
      <c r="W93" s="160"/>
      <c r="X93" s="160"/>
      <c r="Y93" s="161"/>
      <c r="Z93" s="328" t="s">
        <v>192</v>
      </c>
    </row>
    <row r="94" spans="1:25" ht="15">
      <c r="A94" s="111"/>
      <c r="B94" s="111"/>
      <c r="C94" s="41"/>
      <c r="D94" s="41"/>
      <c r="E94" s="41"/>
      <c r="F94" s="113"/>
      <c r="G94" s="41"/>
      <c r="H94" s="41"/>
      <c r="I94" s="41"/>
      <c r="J94" s="41"/>
      <c r="K94" s="492"/>
      <c r="L94" s="41"/>
      <c r="M94" s="41"/>
      <c r="N94" s="41"/>
      <c r="O94" s="41"/>
      <c r="P94" s="41"/>
      <c r="Q94" s="41"/>
      <c r="R94" s="41"/>
      <c r="S94" s="41"/>
      <c r="T94" s="41"/>
      <c r="U94" s="41"/>
      <c r="V94" s="41"/>
      <c r="W94" s="41"/>
      <c r="X94" s="41"/>
      <c r="Y94" s="42"/>
    </row>
    <row r="95" spans="1:26" ht="15">
      <c r="A95" s="326" t="s">
        <v>251</v>
      </c>
      <c r="B95" s="399"/>
      <c r="C95" s="400"/>
      <c r="D95" s="400">
        <f aca="true" t="shared" si="20" ref="D95:Y95">D96+D98</f>
        <v>28044.555</v>
      </c>
      <c r="E95" s="90">
        <f t="shared" si="20"/>
        <v>28589.923</v>
      </c>
      <c r="F95" s="90">
        <f t="shared" si="20"/>
        <v>29068.323</v>
      </c>
      <c r="G95" s="90">
        <f t="shared" si="20"/>
        <v>29645.881</v>
      </c>
      <c r="H95" s="90">
        <f t="shared" si="20"/>
        <v>30158.1</v>
      </c>
      <c r="I95" s="90">
        <f t="shared" si="20"/>
        <v>30059.5</v>
      </c>
      <c r="J95" s="90">
        <f>J96+J98</f>
        <v>31633.194</v>
      </c>
      <c r="K95" s="102">
        <f>K96+K98</f>
        <v>33094.63730003149</v>
      </c>
      <c r="L95" s="401">
        <f t="shared" si="20"/>
        <v>33752.99863443981</v>
      </c>
      <c r="M95" s="160">
        <f t="shared" si="20"/>
        <v>34375.5875550936</v>
      </c>
      <c r="N95" s="160">
        <f t="shared" si="20"/>
        <v>34989.293439618414</v>
      </c>
      <c r="O95" s="160">
        <f t="shared" si="20"/>
        <v>35597.67406255785</v>
      </c>
      <c r="P95" s="160">
        <f t="shared" si="20"/>
        <v>36202.37257773892</v>
      </c>
      <c r="Q95" s="160">
        <f t="shared" si="20"/>
        <v>36804.86778534744</v>
      </c>
      <c r="R95" s="160">
        <f>R96+R98</f>
        <v>37405.66882966946</v>
      </c>
      <c r="S95" s="160">
        <f t="shared" si="20"/>
        <v>38003.30755481213</v>
      </c>
      <c r="T95" s="160">
        <f t="shared" si="20"/>
        <v>38599.368876953566</v>
      </c>
      <c r="U95" s="160">
        <f t="shared" si="20"/>
        <v>39189.224151393806</v>
      </c>
      <c r="V95" s="160">
        <f t="shared" si="20"/>
        <v>39774.567486724074</v>
      </c>
      <c r="W95" s="160">
        <f t="shared" si="20"/>
        <v>40353.38876489049</v>
      </c>
      <c r="X95" s="160">
        <f t="shared" si="20"/>
        <v>40925.72424732374</v>
      </c>
      <c r="Y95" s="925">
        <f t="shared" si="20"/>
        <v>41492.41488674328</v>
      </c>
      <c r="Z95" s="35" t="s">
        <v>291</v>
      </c>
    </row>
    <row r="96" spans="1:25" ht="15">
      <c r="A96" s="365" t="s">
        <v>253</v>
      </c>
      <c r="B96" s="399"/>
      <c r="C96" s="400"/>
      <c r="D96" s="400">
        <v>803.335</v>
      </c>
      <c r="E96" s="90">
        <v>830.355</v>
      </c>
      <c r="F96" s="90">
        <v>850.391</v>
      </c>
      <c r="G96" s="90">
        <v>879.758</v>
      </c>
      <c r="H96" s="90">
        <v>889</v>
      </c>
      <c r="I96" s="90">
        <v>602.1</v>
      </c>
      <c r="J96" s="90">
        <v>911.894</v>
      </c>
      <c r="K96" s="102">
        <f>K97*EAP!K29</f>
        <v>992.2684199999999</v>
      </c>
      <c r="L96" s="401">
        <f>L97*EAP!L29</f>
        <v>1038.084</v>
      </c>
      <c r="M96" s="160">
        <f>M97*EAP!M29</f>
        <v>1059.8328</v>
      </c>
      <c r="N96" s="160">
        <f>N97*EAP!N29</f>
        <v>1081.1064</v>
      </c>
      <c r="O96" s="160">
        <f>O97*EAP!O29</f>
        <v>1102.272</v>
      </c>
      <c r="P96" s="160">
        <f>P97*EAP!P29</f>
        <v>1123.7112000000002</v>
      </c>
      <c r="Q96" s="160">
        <f>Q97*EAP!Q29</f>
        <v>1145.5248</v>
      </c>
      <c r="R96" s="160">
        <f>R97*EAP!R29</f>
        <v>1167.6527999999998</v>
      </c>
      <c r="S96" s="160">
        <f>S97*EAP!S29</f>
        <v>1190.1527999999998</v>
      </c>
      <c r="T96" s="160">
        <f>T97*EAP!T29</f>
        <v>1212.9288</v>
      </c>
      <c r="U96" s="160">
        <f>U97*EAP!U29</f>
        <v>1235.688</v>
      </c>
      <c r="V96" s="160">
        <f>V97*EAP!V29</f>
        <v>1258.2384</v>
      </c>
      <c r="W96" s="160">
        <f>W97*EAP!W29</f>
        <v>1280.6976</v>
      </c>
      <c r="X96" s="160">
        <f>X97*EAP!X29</f>
        <v>1302.9456</v>
      </c>
      <c r="Y96" s="925">
        <f>Y97*EAP!Y29</f>
        <v>1325.0256000000002</v>
      </c>
    </row>
    <row r="97" spans="1:26" ht="15">
      <c r="A97" s="419" t="s">
        <v>455</v>
      </c>
      <c r="B97" s="400"/>
      <c r="C97" s="400"/>
      <c r="D97" s="329">
        <f>D96/ECO!D15</f>
        <v>0.02393727651966627</v>
      </c>
      <c r="E97" s="329">
        <f>E96/ECO!E15</f>
        <v>0.02435844407286808</v>
      </c>
      <c r="F97" s="329">
        <f>F96/ECO!F15</f>
        <v>0.024254613388095033</v>
      </c>
      <c r="G97" s="329">
        <f>G96/ECO!G15</f>
        <v>0.024413986402109063</v>
      </c>
      <c r="H97" s="329">
        <f>H96/ECO!H15</f>
        <v>0.02390298989029899</v>
      </c>
      <c r="I97" s="329">
        <f>I96/ECO!I15</f>
        <v>0.016013297872340425</v>
      </c>
      <c r="J97" s="329">
        <f>J96/ECO!J15</f>
        <v>0.02392292355317698</v>
      </c>
      <c r="K97" s="581">
        <f>Calculations!K122</f>
        <v>0.023979999999999998</v>
      </c>
      <c r="L97" s="420">
        <f>2.4%</f>
        <v>0.024</v>
      </c>
      <c r="M97" s="420">
        <f>L97</f>
        <v>0.024</v>
      </c>
      <c r="N97" s="420">
        <f aca="true" t="shared" si="21" ref="N97:Y97">M97</f>
        <v>0.024</v>
      </c>
      <c r="O97" s="420">
        <f t="shared" si="21"/>
        <v>0.024</v>
      </c>
      <c r="P97" s="420">
        <f t="shared" si="21"/>
        <v>0.024</v>
      </c>
      <c r="Q97" s="420">
        <f t="shared" si="21"/>
        <v>0.024</v>
      </c>
      <c r="R97" s="420">
        <f t="shared" si="21"/>
        <v>0.024</v>
      </c>
      <c r="S97" s="420">
        <f t="shared" si="21"/>
        <v>0.024</v>
      </c>
      <c r="T97" s="420">
        <f t="shared" si="21"/>
        <v>0.024</v>
      </c>
      <c r="U97" s="420">
        <f t="shared" si="21"/>
        <v>0.024</v>
      </c>
      <c r="V97" s="420">
        <f t="shared" si="21"/>
        <v>0.024</v>
      </c>
      <c r="W97" s="420">
        <f t="shared" si="21"/>
        <v>0.024</v>
      </c>
      <c r="X97" s="420">
        <f t="shared" si="21"/>
        <v>0.024</v>
      </c>
      <c r="Y97" s="959">
        <f t="shared" si="21"/>
        <v>0.024</v>
      </c>
      <c r="Z97" s="35" t="s">
        <v>456</v>
      </c>
    </row>
    <row r="98" spans="1:25" ht="15">
      <c r="A98" s="365" t="s">
        <v>431</v>
      </c>
      <c r="B98" s="400"/>
      <c r="C98" s="400"/>
      <c r="D98" s="400">
        <v>27241.22</v>
      </c>
      <c r="E98" s="400">
        <v>27759.568</v>
      </c>
      <c r="F98" s="400">
        <v>28217.932</v>
      </c>
      <c r="G98" s="400">
        <v>28766.123</v>
      </c>
      <c r="H98" s="400">
        <v>29269.1</v>
      </c>
      <c r="I98" s="400">
        <v>29457.4</v>
      </c>
      <c r="J98" s="400">
        <v>30721.3</v>
      </c>
      <c r="K98" s="102">
        <f aca="true" t="shared" si="22" ref="K98:Y98">K99*K68</f>
        <v>32102.368880031496</v>
      </c>
      <c r="L98" s="401">
        <f t="shared" si="22"/>
        <v>32714.914634439814</v>
      </c>
      <c r="M98" s="160">
        <f t="shared" si="22"/>
        <v>33315.75475509361</v>
      </c>
      <c r="N98" s="160">
        <f t="shared" si="22"/>
        <v>33908.18703961842</v>
      </c>
      <c r="O98" s="160">
        <f t="shared" si="22"/>
        <v>34495.402062557856</v>
      </c>
      <c r="P98" s="160">
        <f t="shared" si="22"/>
        <v>35078.66137773892</v>
      </c>
      <c r="Q98" s="160">
        <f t="shared" si="22"/>
        <v>35659.34298534744</v>
      </c>
      <c r="R98" s="160">
        <f t="shared" si="22"/>
        <v>36238.01602966947</v>
      </c>
      <c r="S98" s="160">
        <f t="shared" si="22"/>
        <v>36813.15475481212</v>
      </c>
      <c r="T98" s="160">
        <f t="shared" si="22"/>
        <v>37386.440076953564</v>
      </c>
      <c r="U98" s="160">
        <f t="shared" si="22"/>
        <v>37953.536151393804</v>
      </c>
      <c r="V98" s="160">
        <f t="shared" si="22"/>
        <v>38516.32908672407</v>
      </c>
      <c r="W98" s="160">
        <f t="shared" si="22"/>
        <v>39072.69116489049</v>
      </c>
      <c r="X98" s="160">
        <f t="shared" si="22"/>
        <v>39622.77864732374</v>
      </c>
      <c r="Y98" s="925">
        <f t="shared" si="22"/>
        <v>40167.38928674328</v>
      </c>
    </row>
    <row r="99" spans="1:26" ht="15">
      <c r="A99" s="419" t="s">
        <v>471</v>
      </c>
      <c r="B99" s="400"/>
      <c r="C99" s="400"/>
      <c r="D99" s="329">
        <f aca="true" t="shared" si="23" ref="D99:J99">D98/D68</f>
        <v>0.306198098149855</v>
      </c>
      <c r="E99" s="329">
        <f t="shared" si="23"/>
        <v>0.30742854611499953</v>
      </c>
      <c r="F99" s="329">
        <f t="shared" si="23"/>
        <v>0.307914842539447</v>
      </c>
      <c r="G99" s="329">
        <f t="shared" si="23"/>
        <v>0.30918016981943247</v>
      </c>
      <c r="H99" s="329">
        <f t="shared" si="23"/>
        <v>0.3097226484375827</v>
      </c>
      <c r="I99" s="329">
        <f t="shared" si="23"/>
        <v>0.30678719836698987</v>
      </c>
      <c r="J99" s="329">
        <f t="shared" si="23"/>
        <v>0.3148577460746936</v>
      </c>
      <c r="K99" s="581">
        <f>Calculations!K123</f>
        <v>0.3238149738751185</v>
      </c>
      <c r="L99" s="420">
        <f>Calculations!L123</f>
        <v>0.32487502119602596</v>
      </c>
      <c r="M99" s="420">
        <f>Calculations!M123</f>
        <v>0.3258232658369464</v>
      </c>
      <c r="N99" s="420">
        <f>Calculations!N123</f>
        <v>0.32668105745518533</v>
      </c>
      <c r="O99" s="420">
        <f>Calculations!O123</f>
        <v>0.32746415984809196</v>
      </c>
      <c r="P99" s="420">
        <f>Calculations!P123</f>
        <v>0.3281845442171538</v>
      </c>
      <c r="Q99" s="420">
        <f>Calculations!Q123</f>
        <v>0.3288515159665373</v>
      </c>
      <c r="R99" s="420">
        <f>Calculations!R123</f>
        <v>0.32947245180991985</v>
      </c>
      <c r="S99" s="420">
        <f>Calculations!S123</f>
        <v>0.330053298500158</v>
      </c>
      <c r="T99" s="420">
        <f>Calculations!T123</f>
        <v>0.33059892009650593</v>
      </c>
      <c r="U99" s="420">
        <f>Calculations!U123</f>
        <v>0.33111334582106544</v>
      </c>
      <c r="V99" s="420">
        <f>Calculations!V123</f>
        <v>0.33159995081249793</v>
      </c>
      <c r="W99" s="420">
        <f>Calculations!W123</f>
        <v>0.3320615904619859</v>
      </c>
      <c r="X99" s="420">
        <f>Calculations!X123</f>
        <v>0.3325007019395108</v>
      </c>
      <c r="Y99" s="959">
        <f>Calculations!Y123</f>
        <v>0.3329193820802248</v>
      </c>
      <c r="Z99" s="35" t="s">
        <v>472</v>
      </c>
    </row>
    <row r="100" spans="1:25" ht="15">
      <c r="A100" s="326" t="s">
        <v>252</v>
      </c>
      <c r="B100" s="400"/>
      <c r="C100" s="400"/>
      <c r="D100" s="400"/>
      <c r="E100" s="400"/>
      <c r="F100" s="400"/>
      <c r="G100" s="400"/>
      <c r="H100" s="400">
        <v>1387.851</v>
      </c>
      <c r="I100" s="400">
        <v>1650.099</v>
      </c>
      <c r="J100" s="400">
        <f>J101*ECO!J$52</f>
        <v>1700.1940018399264</v>
      </c>
      <c r="K100" s="507">
        <f>K101*ECO!K$52</f>
        <v>1707.1335691943752</v>
      </c>
      <c r="L100" s="401">
        <f>L101*ECO!L$52</f>
        <v>1828.0260620439415</v>
      </c>
      <c r="M100" s="160">
        <f>M101*ECO!M$52</f>
        <v>1893.1091633084145</v>
      </c>
      <c r="N100" s="160">
        <f>N101*ECO!N$52</f>
        <v>1956.4505882481799</v>
      </c>
      <c r="O100" s="160">
        <f>O101*ECO!O$52</f>
        <v>2020.641833480845</v>
      </c>
      <c r="P100" s="160">
        <f>P101*ECO!P$52</f>
        <v>2086.3867104609785</v>
      </c>
      <c r="Q100" s="160">
        <f>Q101*ECO!Q$52</f>
        <v>2153.897010295205</v>
      </c>
      <c r="R100" s="160">
        <f>R101*ECO!R$52</f>
        <v>2223.0467065972393</v>
      </c>
      <c r="S100" s="160">
        <f>S101*ECO!S$52</f>
        <v>2293.969074852526</v>
      </c>
      <c r="T100" s="160">
        <f>T101*ECO!T$52</f>
        <v>2366.503133909642</v>
      </c>
      <c r="U100" s="160">
        <f>U101*ECO!U$52</f>
        <v>2440.090207088198</v>
      </c>
      <c r="V100" s="160">
        <f>V101*ECO!V$52</f>
        <v>2514.345362968917</v>
      </c>
      <c r="W100" s="160">
        <f>W101*ECO!W$52</f>
        <v>2589.491484067998</v>
      </c>
      <c r="X100" s="160">
        <f>X101*ECO!X$52</f>
        <v>2665.2765081130096</v>
      </c>
      <c r="Y100" s="925">
        <f>Y101*ECO!Y$52</f>
        <v>2741.7746914800423</v>
      </c>
    </row>
    <row r="101" spans="1:26" ht="15">
      <c r="A101" s="419" t="s">
        <v>263</v>
      </c>
      <c r="B101" s="400"/>
      <c r="C101" s="400"/>
      <c r="D101" s="329"/>
      <c r="E101" s="329"/>
      <c r="F101" s="329"/>
      <c r="G101" s="329"/>
      <c r="H101" s="329">
        <f>H100/ECO!H$52</f>
        <v>0.06339534989950668</v>
      </c>
      <c r="I101" s="329">
        <f>I100/ECO!I$52</f>
        <v>0.07228715994217375</v>
      </c>
      <c r="J101" s="329">
        <f aca="true" t="shared" si="24" ref="J101:S101">I101</f>
        <v>0.07228715994217375</v>
      </c>
      <c r="K101" s="670">
        <f>J101</f>
        <v>0.07228715994217375</v>
      </c>
      <c r="L101" s="420">
        <f t="shared" si="24"/>
        <v>0.07228715994217375</v>
      </c>
      <c r="M101" s="420">
        <f t="shared" si="24"/>
        <v>0.07228715994217375</v>
      </c>
      <c r="N101" s="420">
        <f>M101</f>
        <v>0.07228715994217375</v>
      </c>
      <c r="O101" s="420">
        <f t="shared" si="24"/>
        <v>0.07228715994217375</v>
      </c>
      <c r="P101" s="420">
        <f t="shared" si="24"/>
        <v>0.07228715994217375</v>
      </c>
      <c r="Q101" s="420">
        <f t="shared" si="24"/>
        <v>0.07228715994217375</v>
      </c>
      <c r="R101" s="420">
        <f t="shared" si="24"/>
        <v>0.07228715994217375</v>
      </c>
      <c r="S101" s="420">
        <f t="shared" si="24"/>
        <v>0.07228715994217375</v>
      </c>
      <c r="T101" s="420">
        <f aca="true" t="shared" si="25" ref="T101:Y101">S101</f>
        <v>0.07228715994217375</v>
      </c>
      <c r="U101" s="420">
        <f t="shared" si="25"/>
        <v>0.07228715994217375</v>
      </c>
      <c r="V101" s="420">
        <f t="shared" si="25"/>
        <v>0.07228715994217375</v>
      </c>
      <c r="W101" s="420">
        <f t="shared" si="25"/>
        <v>0.07228715994217375</v>
      </c>
      <c r="X101" s="420">
        <f t="shared" si="25"/>
        <v>0.07228715994217375</v>
      </c>
      <c r="Y101" s="959">
        <f t="shared" si="25"/>
        <v>0.07228715994217375</v>
      </c>
      <c r="Z101" s="35" t="s">
        <v>432</v>
      </c>
    </row>
    <row r="102" spans="1:25" ht="15">
      <c r="A102" s="40"/>
      <c r="B102" s="329"/>
      <c r="C102" s="329"/>
      <c r="D102" s="329"/>
      <c r="E102" s="329"/>
      <c r="F102" s="329"/>
      <c r="G102" s="329"/>
      <c r="H102" s="329"/>
      <c r="I102" s="329"/>
      <c r="J102" s="329"/>
      <c r="K102" s="493"/>
      <c r="L102" s="631"/>
      <c r="M102" s="631"/>
      <c r="N102" s="631"/>
      <c r="O102" s="631"/>
      <c r="P102" s="631"/>
      <c r="Q102" s="631"/>
      <c r="R102" s="631"/>
      <c r="S102" s="631"/>
      <c r="T102" s="631"/>
      <c r="U102" s="631"/>
      <c r="V102" s="631"/>
      <c r="W102" s="631"/>
      <c r="X102" s="631"/>
      <c r="Y102" s="960"/>
    </row>
    <row r="103" spans="1:26" ht="15">
      <c r="A103" s="754" t="s">
        <v>473</v>
      </c>
      <c r="B103" s="329"/>
      <c r="C103" s="329"/>
      <c r="D103" s="329"/>
      <c r="E103" s="329"/>
      <c r="F103" s="329"/>
      <c r="G103" s="329"/>
      <c r="H103" s="400"/>
      <c r="I103" s="400"/>
      <c r="J103" s="400">
        <v>42.372</v>
      </c>
      <c r="K103" s="755">
        <v>40.361</v>
      </c>
      <c r="L103" s="401">
        <v>513.543</v>
      </c>
      <c r="M103" s="160">
        <f>532.752+627.403</f>
        <v>1160.155</v>
      </c>
      <c r="N103" s="160">
        <f aca="true" t="shared" si="26" ref="N103:R103">M103*(N87+1)</f>
        <v>1190.9511591860446</v>
      </c>
      <c r="O103" s="160">
        <f t="shared" si="26"/>
        <v>1222.0185672812659</v>
      </c>
      <c r="P103" s="160">
        <f t="shared" si="26"/>
        <v>1253.617960134277</v>
      </c>
      <c r="Q103" s="160">
        <f t="shared" si="26"/>
        <v>1285.9123499170978</v>
      </c>
      <c r="R103" s="160">
        <f t="shared" si="26"/>
        <v>1318.7750423032883</v>
      </c>
      <c r="S103" s="160">
        <f>R103*(S87+1)</f>
        <v>1352.344051079383</v>
      </c>
      <c r="T103" s="160">
        <f aca="true" t="shared" si="27" ref="T103:X103">S103*(T87+1)</f>
        <v>1386.4540643413643</v>
      </c>
      <c r="U103" s="160">
        <f t="shared" si="27"/>
        <v>1420.6080711778025</v>
      </c>
      <c r="V103" s="160">
        <f t="shared" si="27"/>
        <v>1454.5641218625094</v>
      </c>
      <c r="W103" s="160">
        <f t="shared" si="27"/>
        <v>1488.8550075528071</v>
      </c>
      <c r="X103" s="160">
        <f t="shared" si="27"/>
        <v>1523.0132853200987</v>
      </c>
      <c r="Y103" s="160">
        <f>X103*(Y87+1)</f>
        <v>1556.778279049069</v>
      </c>
      <c r="Z103" s="1087" t="s">
        <v>440</v>
      </c>
    </row>
    <row r="104" spans="1:26" ht="15">
      <c r="A104" s="40"/>
      <c r="B104" s="329"/>
      <c r="C104" s="329"/>
      <c r="D104" s="329"/>
      <c r="E104" s="329"/>
      <c r="F104" s="329"/>
      <c r="G104" s="329"/>
      <c r="H104" s="329"/>
      <c r="I104" s="400"/>
      <c r="J104" s="400"/>
      <c r="K104" s="755"/>
      <c r="L104" s="631"/>
      <c r="M104" s="631"/>
      <c r="N104" s="631"/>
      <c r="O104" s="631"/>
      <c r="P104" s="631"/>
      <c r="Q104" s="631"/>
      <c r="R104" s="631"/>
      <c r="S104" s="631"/>
      <c r="T104" s="631"/>
      <c r="U104" s="631"/>
      <c r="V104" s="631"/>
      <c r="W104" s="631"/>
      <c r="X104" s="631"/>
      <c r="Y104" s="402"/>
      <c r="Z104" s="1087"/>
    </row>
    <row r="105" spans="1:26" ht="15">
      <c r="A105" s="326" t="s">
        <v>316</v>
      </c>
      <c r="B105" s="400"/>
      <c r="C105" s="400"/>
      <c r="D105" s="400">
        <v>6</v>
      </c>
      <c r="E105" s="90">
        <v>340.391</v>
      </c>
      <c r="F105" s="90">
        <v>630</v>
      </c>
      <c r="G105" s="90">
        <v>1000</v>
      </c>
      <c r="H105" s="90">
        <v>2300</v>
      </c>
      <c r="I105" s="90">
        <v>3100</v>
      </c>
      <c r="J105" s="90">
        <v>3800</v>
      </c>
      <c r="K105" s="102">
        <v>4461.732</v>
      </c>
      <c r="L105" s="463">
        <v>4353.597</v>
      </c>
      <c r="M105" s="463">
        <f>Calculations!M153</f>
        <v>4691.1</v>
      </c>
      <c r="N105" s="463">
        <f>Calculations!N153</f>
        <v>5028.6</v>
      </c>
      <c r="O105" s="463">
        <f>Calculations!O153</f>
        <v>5366.1</v>
      </c>
      <c r="P105" s="463">
        <f>Calculations!P153</f>
        <v>5703.6</v>
      </c>
      <c r="Q105" s="463">
        <f>Calculations!Q153</f>
        <v>6041.1</v>
      </c>
      <c r="R105" s="463">
        <f>Calculations!R153</f>
        <v>6378.6</v>
      </c>
      <c r="S105" s="463">
        <f>Calculations!S153</f>
        <v>6534.624931901088</v>
      </c>
      <c r="T105" s="463">
        <f>Calculations!T153</f>
        <v>6566.489725053358</v>
      </c>
      <c r="U105" s="463">
        <f>Calculations!U153</f>
        <v>6595.990603300354</v>
      </c>
      <c r="V105" s="463">
        <f>Calculations!V153</f>
        <v>6623.433011635569</v>
      </c>
      <c r="W105" s="463">
        <f>Calculations!W153</f>
        <v>6648.433944971596</v>
      </c>
      <c r="X105" s="463">
        <f>Calculations!X153</f>
        <v>6671.016858982</v>
      </c>
      <c r="Y105" s="956">
        <f>Calculations!Y153</f>
        <v>6691.31612861443</v>
      </c>
      <c r="Z105" s="35" t="s">
        <v>381</v>
      </c>
    </row>
    <row r="106" spans="1:26" ht="15">
      <c r="A106" s="637" t="s">
        <v>317</v>
      </c>
      <c r="B106" s="329"/>
      <c r="C106" s="329"/>
      <c r="D106" s="329"/>
      <c r="E106" s="667">
        <f>E105/D105-1</f>
        <v>55.731833333333334</v>
      </c>
      <c r="F106" s="667">
        <f aca="true" t="shared" si="28" ref="F106:K106">F105/E105-1</f>
        <v>0.850812741817498</v>
      </c>
      <c r="G106" s="667">
        <f t="shared" si="28"/>
        <v>0.5873015873015872</v>
      </c>
      <c r="H106" s="667">
        <f>H105/G105-1</f>
        <v>1.2999999999999998</v>
      </c>
      <c r="I106" s="667">
        <f t="shared" si="28"/>
        <v>0.34782608695652173</v>
      </c>
      <c r="J106" s="667">
        <f t="shared" si="28"/>
        <v>0.22580645161290325</v>
      </c>
      <c r="K106" s="685">
        <f t="shared" si="28"/>
        <v>0.17413999999999996</v>
      </c>
      <c r="L106" s="688">
        <f>L105/K105-1</f>
        <v>-0.02423610382694441</v>
      </c>
      <c r="M106" s="688">
        <f>M105/L105-1</f>
        <v>0.0775227932213296</v>
      </c>
      <c r="N106" s="688">
        <f aca="true" t="shared" si="29" ref="N106:S106">N105/M105-1</f>
        <v>0.07194474643473803</v>
      </c>
      <c r="O106" s="688">
        <f t="shared" si="29"/>
        <v>0.0671160959312731</v>
      </c>
      <c r="P106" s="688">
        <f t="shared" si="29"/>
        <v>0.06289483982780797</v>
      </c>
      <c r="Q106" s="688">
        <f t="shared" si="29"/>
        <v>0.05917315379760146</v>
      </c>
      <c r="R106" s="688">
        <f t="shared" si="29"/>
        <v>0.05586730893380354</v>
      </c>
      <c r="S106" s="688">
        <f t="shared" si="29"/>
        <v>0.024460686028452416</v>
      </c>
      <c r="T106" s="688"/>
      <c r="U106" s="688"/>
      <c r="V106" s="688"/>
      <c r="W106" s="688"/>
      <c r="X106" s="688"/>
      <c r="Y106" s="957"/>
      <c r="Z106" s="35" t="s">
        <v>474</v>
      </c>
    </row>
    <row r="107" spans="1:26" ht="15">
      <c r="A107" s="326" t="s">
        <v>330</v>
      </c>
      <c r="B107" s="400"/>
      <c r="C107" s="400"/>
      <c r="D107" s="400"/>
      <c r="E107" s="90">
        <v>774.987</v>
      </c>
      <c r="F107" s="90">
        <v>1403.367</v>
      </c>
      <c r="G107" s="90">
        <v>2244.082</v>
      </c>
      <c r="H107" s="706">
        <v>5901.46</v>
      </c>
      <c r="I107" s="706">
        <v>8031.14</v>
      </c>
      <c r="J107" s="706">
        <v>9695.188</v>
      </c>
      <c r="K107" s="496">
        <f>K105*K112</f>
        <v>11154.33</v>
      </c>
      <c r="L107" s="463">
        <v>10235.658</v>
      </c>
      <c r="M107" s="463">
        <f aca="true" t="shared" si="30" ref="M107:S107">M105*M112</f>
        <v>11783.094177983956</v>
      </c>
      <c r="N107" s="463">
        <f t="shared" si="30"/>
        <v>12630.82590083565</v>
      </c>
      <c r="O107" s="463">
        <f t="shared" si="30"/>
        <v>13478.557623687346</v>
      </c>
      <c r="P107" s="463">
        <f t="shared" si="30"/>
        <v>14326.28934653904</v>
      </c>
      <c r="Q107" s="463">
        <f t="shared" si="30"/>
        <v>15174.021069390736</v>
      </c>
      <c r="R107" s="463">
        <f t="shared" si="30"/>
        <v>16021.75279224243</v>
      </c>
      <c r="S107" s="463">
        <f t="shared" si="30"/>
        <v>16413.655856918955</v>
      </c>
      <c r="T107" s="463">
        <f aca="true" t="shared" si="31" ref="T107:Y107">T105*T112</f>
        <v>16493.693770984988</v>
      </c>
      <c r="U107" s="463">
        <f t="shared" si="31"/>
        <v>16567.794009035257</v>
      </c>
      <c r="V107" s="463">
        <f t="shared" si="31"/>
        <v>16636.723787101066</v>
      </c>
      <c r="W107" s="463">
        <f t="shared" si="31"/>
        <v>16699.521073885808</v>
      </c>
      <c r="X107" s="463">
        <f t="shared" si="31"/>
        <v>16756.24478529633</v>
      </c>
      <c r="Y107" s="956">
        <f t="shared" si="31"/>
        <v>16807.23244401672</v>
      </c>
      <c r="Z107" s="566" t="s">
        <v>326</v>
      </c>
    </row>
    <row r="108" spans="1:26" ht="11.25" customHeight="1">
      <c r="A108" s="652" t="s">
        <v>1</v>
      </c>
      <c r="B108" s="400"/>
      <c r="C108" s="400"/>
      <c r="D108" s="400"/>
      <c r="E108" s="682">
        <v>43.125</v>
      </c>
      <c r="F108" s="682">
        <v>82.341</v>
      </c>
      <c r="G108" s="682">
        <v>114.985</v>
      </c>
      <c r="H108" s="684">
        <f>H$107*Calculations!H129</f>
        <v>299.794168</v>
      </c>
      <c r="I108" s="684">
        <f>I$107*Calculations!I129</f>
        <v>390.313404</v>
      </c>
      <c r="J108" s="684">
        <f>J$107*Calculations!J129</f>
        <v>449.8567232</v>
      </c>
      <c r="K108" s="686">
        <f>K$107*Calculations!K129</f>
        <v>493.021386</v>
      </c>
      <c r="L108" s="681">
        <f>L$107*Calculations!L129</f>
        <v>429.8976359999999</v>
      </c>
      <c r="M108" s="681">
        <f>M$107*Calculations!M129</f>
        <v>468.96714828376145</v>
      </c>
      <c r="N108" s="681">
        <f>N$107*Calculations!N129</f>
        <v>474.9190538714204</v>
      </c>
      <c r="O108" s="681">
        <f>O$107*Calculations!O129</f>
        <v>477.14093987853204</v>
      </c>
      <c r="P108" s="681">
        <f>P$107*Calculations!P129</f>
        <v>475.63280630509615</v>
      </c>
      <c r="Q108" s="681">
        <f>Q$107*Calculations!Q129</f>
        <v>470.3946531511128</v>
      </c>
      <c r="R108" s="681">
        <f>R$107*Calculations!R129</f>
        <v>461.42648041658197</v>
      </c>
      <c r="S108" s="681">
        <f>S$107*Calculations!S129</f>
        <v>436.6032457940442</v>
      </c>
      <c r="T108" s="681">
        <f>T$107*Calculations!T129</f>
        <v>402.4461280120337</v>
      </c>
      <c r="U108" s="681">
        <f>U$107*Calculations!U129</f>
        <v>367.80502700058264</v>
      </c>
      <c r="V108" s="681">
        <f>V$107*Calculations!V129</f>
        <v>332.7344757420213</v>
      </c>
      <c r="W108" s="681">
        <f>W$107*Calculations!W129</f>
        <v>297.2514751151673</v>
      </c>
      <c r="X108" s="681">
        <f>X$107*Calculations!X129</f>
        <v>261.3974186506227</v>
      </c>
      <c r="Y108" s="958">
        <f>Y$107*Calculations!Y129</f>
        <v>225.21691474982399</v>
      </c>
      <c r="Z108" s="566"/>
    </row>
    <row r="109" spans="1:26" ht="11.25" customHeight="1">
      <c r="A109" s="652" t="s">
        <v>2</v>
      </c>
      <c r="B109" s="400"/>
      <c r="C109" s="400"/>
      <c r="D109" s="400"/>
      <c r="E109" s="682">
        <v>267.084</v>
      </c>
      <c r="F109" s="682">
        <v>495.044</v>
      </c>
      <c r="G109" s="682">
        <v>780.18</v>
      </c>
      <c r="H109" s="684">
        <f>H$107*Calculations!H130</f>
        <v>2073.182898</v>
      </c>
      <c r="I109" s="684">
        <f>I$107*Calculations!I130</f>
        <v>2833.386192</v>
      </c>
      <c r="J109" s="684">
        <f>J$107*Calculations!J130</f>
        <v>3435.0051084</v>
      </c>
      <c r="K109" s="686">
        <f>K$107*Calculations!K130</f>
        <v>3968.710614</v>
      </c>
      <c r="L109" s="681">
        <f>L$107*Calculations!L130</f>
        <v>3657.2006034</v>
      </c>
      <c r="M109" s="681">
        <f>M$107*Calculations!M130</f>
        <v>4227.774191060644</v>
      </c>
      <c r="N109" s="681">
        <f>N$107*Calculations!N130</f>
        <v>4550.8865720710855</v>
      </c>
      <c r="O109" s="681">
        <f>O$107*Calculations!O130</f>
        <v>4876.5421482500815</v>
      </c>
      <c r="P109" s="681">
        <f>P$107*Calculations!P130</f>
        <v>5204.740919597633</v>
      </c>
      <c r="Q109" s="681">
        <f>Q$107*Calculations!Q130</f>
        <v>5535.48288611374</v>
      </c>
      <c r="R109" s="681">
        <f>R$107*Calculations!R130</f>
        <v>5868.768047798402</v>
      </c>
      <c r="S109" s="681">
        <f>S$107*Calculations!S130</f>
        <v>6036.9426241747915</v>
      </c>
      <c r="T109" s="681">
        <f>T$107*Calculations!T130</f>
        <v>6091.121109624756</v>
      </c>
      <c r="U109" s="681">
        <f>U$107*Calculations!U130</f>
        <v>6143.338018550274</v>
      </c>
      <c r="V109" s="681">
        <f>V$107*Calculations!V130</f>
        <v>6193.852265937727</v>
      </c>
      <c r="W109" s="681">
        <f>W$107*Calculations!W130</f>
        <v>6242.280977418515</v>
      </c>
      <c r="X109" s="681">
        <f>X$107*Calculations!X130</f>
        <v>6288.618667921713</v>
      </c>
      <c r="Y109" s="958">
        <f>Y$107*Calculations!Y130</f>
        <v>6332.965184905501</v>
      </c>
      <c r="Z109" s="1085" t="s">
        <v>445</v>
      </c>
    </row>
    <row r="110" spans="1:26" ht="15">
      <c r="A110" s="652" t="s">
        <v>3</v>
      </c>
      <c r="B110" s="400"/>
      <c r="C110" s="400"/>
      <c r="D110" s="400"/>
      <c r="E110" s="682">
        <v>255.568</v>
      </c>
      <c r="F110" s="682">
        <v>458.209</v>
      </c>
      <c r="G110" s="682">
        <v>763.688</v>
      </c>
      <c r="H110" s="684">
        <f>H$107*Calculations!H131</f>
        <v>2023.610634</v>
      </c>
      <c r="I110" s="684">
        <f>I$107*Calculations!I131</f>
        <v>2796.4429480000003</v>
      </c>
      <c r="J110" s="684">
        <f>J$107*Calculations!J131</f>
        <v>3427.2489579999997</v>
      </c>
      <c r="K110" s="686">
        <f>K$107*Calculations!K131</f>
        <v>4002.173604</v>
      </c>
      <c r="L110" s="681">
        <f>L$107*Calculations!L131</f>
        <v>3726.8030777999998</v>
      </c>
      <c r="M110" s="681">
        <f>M$107*Calculations!M131</f>
        <v>4352.674989347273</v>
      </c>
      <c r="N110" s="681">
        <f>N$107*Calculations!N131</f>
        <v>4732.770465043118</v>
      </c>
      <c r="O110" s="681">
        <f>O$107*Calculations!O131</f>
        <v>5121.851897001192</v>
      </c>
      <c r="P110" s="681">
        <f>P$107*Calculations!P131</f>
        <v>5519.919285221492</v>
      </c>
      <c r="Q110" s="681">
        <f>Q$107*Calculations!Q131</f>
        <v>5926.9726297040215</v>
      </c>
      <c r="R110" s="681">
        <f>R$107*Calculations!R131</f>
        <v>6343.011930448778</v>
      </c>
      <c r="S110" s="681">
        <f>S$107*Calculations!S131</f>
        <v>6585.158729795885</v>
      </c>
      <c r="T110" s="681">
        <f>T$107*Calculations!T131</f>
        <v>6704.6865179053975</v>
      </c>
      <c r="U110" s="681">
        <f>U$107*Calculations!U131</f>
        <v>6822.617572920719</v>
      </c>
      <c r="V110" s="681">
        <f>V$107*Calculations!V131</f>
        <v>6939.177491599854</v>
      </c>
      <c r="W110" s="681">
        <f>W$107*Calculations!W131</f>
        <v>7053.877701609365</v>
      </c>
      <c r="X110" s="681">
        <f>X$107*Calculations!X131</f>
        <v>7166.64589467124</v>
      </c>
      <c r="Y110" s="958">
        <f>Y$107*Calculations!Y131</f>
        <v>7277.531648259241</v>
      </c>
      <c r="Z110" s="1085"/>
    </row>
    <row r="111" spans="1:26" ht="15">
      <c r="A111" s="652" t="s">
        <v>331</v>
      </c>
      <c r="B111" s="400"/>
      <c r="C111" s="400"/>
      <c r="D111" s="400"/>
      <c r="E111" s="682">
        <v>209.21</v>
      </c>
      <c r="F111" s="682">
        <v>367.773</v>
      </c>
      <c r="G111" s="682">
        <v>585.229</v>
      </c>
      <c r="H111" s="684">
        <f>H$107*Calculations!H132</f>
        <v>1504.8723</v>
      </c>
      <c r="I111" s="684">
        <f>I$107*Calculations!I132</f>
        <v>2010.9974559999998</v>
      </c>
      <c r="J111" s="684">
        <f>J$107*Calculations!J132</f>
        <v>2383.0772104</v>
      </c>
      <c r="K111" s="686">
        <f>K$107*Calculations!K132</f>
        <v>2690.4243959999994</v>
      </c>
      <c r="L111" s="681">
        <f>L$107*Calculations!L132</f>
        <v>2421.7566827999995</v>
      </c>
      <c r="M111" s="681">
        <f>M$107*Calculations!M132</f>
        <v>2733.6778492922776</v>
      </c>
      <c r="N111" s="681">
        <f>N$107*Calculations!N132</f>
        <v>2872.249809850027</v>
      </c>
      <c r="O111" s="681">
        <f>O$107*Calculations!O132</f>
        <v>3003.02263855754</v>
      </c>
      <c r="P111" s="681">
        <f>P$107*Calculations!P132</f>
        <v>3125.9963354148185</v>
      </c>
      <c r="Q111" s="681">
        <f>Q$107*Calculations!Q132</f>
        <v>3241.170900421861</v>
      </c>
      <c r="R111" s="681">
        <f>R$107*Calculations!R132</f>
        <v>3348.5463335786676</v>
      </c>
      <c r="S111" s="681">
        <f>S$107*Calculations!S132</f>
        <v>3354.9512571542336</v>
      </c>
      <c r="T111" s="681">
        <f>T$107*Calculations!T132</f>
        <v>3295.4400154428004</v>
      </c>
      <c r="U111" s="681">
        <f>U$107*Calculations!U132</f>
        <v>3234.0333905636817</v>
      </c>
      <c r="V111" s="681">
        <f>V$107*Calculations!V132</f>
        <v>3170.959553821463</v>
      </c>
      <c r="W111" s="681">
        <f>W$107*Calculations!W132</f>
        <v>3106.11091974276</v>
      </c>
      <c r="X111" s="681">
        <f>X$107*Calculations!X132</f>
        <v>3039.582804052754</v>
      </c>
      <c r="Y111" s="958">
        <f>Y$107*Calculations!Y132</f>
        <v>2971.518696102156</v>
      </c>
      <c r="Z111" s="1085"/>
    </row>
    <row r="112" spans="1:26" s="651" customFormat="1" ht="15">
      <c r="A112" s="649" t="s">
        <v>436</v>
      </c>
      <c r="B112" s="650"/>
      <c r="C112" s="650"/>
      <c r="D112" s="650"/>
      <c r="E112" s="683">
        <f aca="true" t="shared" si="32" ref="E112:J112">E107/E105</f>
        <v>2.2767552608617736</v>
      </c>
      <c r="F112" s="683">
        <f t="shared" si="32"/>
        <v>2.2275666666666667</v>
      </c>
      <c r="G112" s="683">
        <f t="shared" si="32"/>
        <v>2.2440819999999997</v>
      </c>
      <c r="H112" s="683">
        <f t="shared" si="32"/>
        <v>2.5658521739130435</v>
      </c>
      <c r="I112" s="683">
        <f t="shared" si="32"/>
        <v>2.5906903225806452</v>
      </c>
      <c r="J112" s="683">
        <f t="shared" si="32"/>
        <v>2.5513652631578947</v>
      </c>
      <c r="K112" s="687">
        <v>2.5</v>
      </c>
      <c r="L112" s="653">
        <f>L107/L105</f>
        <v>2.351080727040192</v>
      </c>
      <c r="M112" s="781">
        <f>AVERAGE(H112:L112)</f>
        <v>2.5117976973383547</v>
      </c>
      <c r="N112" s="781">
        <f>M112</f>
        <v>2.5117976973383547</v>
      </c>
      <c r="O112" s="781">
        <f aca="true" t="shared" si="33" ref="O112:X112">N112</f>
        <v>2.5117976973383547</v>
      </c>
      <c r="P112" s="781">
        <f t="shared" si="33"/>
        <v>2.5117976973383547</v>
      </c>
      <c r="Q112" s="781">
        <f t="shared" si="33"/>
        <v>2.5117976973383547</v>
      </c>
      <c r="R112" s="781">
        <f t="shared" si="33"/>
        <v>2.5117976973383547</v>
      </c>
      <c r="S112" s="781">
        <f t="shared" si="33"/>
        <v>2.5117976973383547</v>
      </c>
      <c r="T112" s="781">
        <f t="shared" si="33"/>
        <v>2.5117976973383547</v>
      </c>
      <c r="U112" s="781">
        <f t="shared" si="33"/>
        <v>2.5117976973383547</v>
      </c>
      <c r="V112" s="781">
        <f t="shared" si="33"/>
        <v>2.5117976973383547</v>
      </c>
      <c r="W112" s="781">
        <f t="shared" si="33"/>
        <v>2.5117976973383547</v>
      </c>
      <c r="X112" s="781">
        <f t="shared" si="33"/>
        <v>2.5117976973383547</v>
      </c>
      <c r="Y112" s="920">
        <f>X112</f>
        <v>2.5117976973383547</v>
      </c>
      <c r="Z112" s="1084" t="s">
        <v>475</v>
      </c>
    </row>
    <row r="113" spans="6:26" ht="15" customHeight="1">
      <c r="F113" s="708" t="s">
        <v>379</v>
      </c>
      <c r="G113" s="708"/>
      <c r="H113" s="708"/>
      <c r="I113" s="708"/>
      <c r="J113" s="708"/>
      <c r="K113" s="708"/>
      <c r="L113" s="709">
        <f>8872093/10202773</f>
        <v>0.8695766337249687</v>
      </c>
      <c r="M113" s="35" t="s">
        <v>444</v>
      </c>
      <c r="Z113" s="1084"/>
    </row>
    <row r="114" spans="6:26" ht="15">
      <c r="F114" s="708" t="s">
        <v>380</v>
      </c>
      <c r="G114" s="708"/>
      <c r="H114" s="708"/>
      <c r="I114" s="708"/>
      <c r="J114" s="708"/>
      <c r="K114" s="708"/>
      <c r="L114" s="709">
        <f>1330680/10202773</f>
        <v>0.13042336627503132</v>
      </c>
      <c r="Z114" s="1084"/>
    </row>
    <row r="115" ht="15">
      <c r="F115" s="35"/>
    </row>
    <row r="116" spans="3:25" ht="15">
      <c r="C116" s="657"/>
      <c r="F116" s="35"/>
      <c r="G116" s="657">
        <f aca="true" t="shared" si="34" ref="G116:K116">G107/SUM(G51:G54)</f>
        <v>0.05468169302370915</v>
      </c>
      <c r="H116" s="657">
        <f t="shared" si="34"/>
        <v>0.14285098760650658</v>
      </c>
      <c r="I116" s="657">
        <f t="shared" si="34"/>
        <v>0.19327461314465863</v>
      </c>
      <c r="J116" s="657">
        <f t="shared" si="34"/>
        <v>0.23198114516785107</v>
      </c>
      <c r="K116" s="657">
        <f t="shared" si="34"/>
        <v>0.2653076612040054</v>
      </c>
      <c r="L116" s="657">
        <f>L107/SUM(L51:L54)</f>
        <v>0.2420006147153395</v>
      </c>
      <c r="M116" s="657">
        <f aca="true" t="shared" si="35" ref="M116:Y116">M107/SUM(M51:M54)</f>
        <v>0.276949517651106</v>
      </c>
      <c r="N116" s="657">
        <f t="shared" si="35"/>
        <v>0.29521621832033773</v>
      </c>
      <c r="O116" s="657">
        <f t="shared" si="35"/>
        <v>0.3132799745185791</v>
      </c>
      <c r="P116" s="657">
        <f t="shared" si="35"/>
        <v>0.33107527608012205</v>
      </c>
      <c r="Q116" s="657">
        <f t="shared" si="35"/>
        <v>0.3485556362702884</v>
      </c>
      <c r="R116" s="657">
        <f t="shared" si="35"/>
        <v>0.36575169026920284</v>
      </c>
      <c r="S116" s="657">
        <f t="shared" si="35"/>
        <v>0.3722846028923077</v>
      </c>
      <c r="T116" s="657">
        <f t="shared" si="35"/>
        <v>0.3716469979942539</v>
      </c>
      <c r="U116" s="657">
        <f t="shared" si="35"/>
        <v>0.37095951836091656</v>
      </c>
      <c r="V116" s="657">
        <f t="shared" si="35"/>
        <v>0.3702974489650344</v>
      </c>
      <c r="W116" s="657">
        <f t="shared" si="35"/>
        <v>0.3694993046550682</v>
      </c>
      <c r="X116" s="657">
        <f t="shared" si="35"/>
        <v>0.3686823645249913</v>
      </c>
      <c r="Y116" s="657">
        <f t="shared" si="35"/>
        <v>0.36790999811782765</v>
      </c>
    </row>
    <row r="117" spans="3:25" ht="15">
      <c r="C117" s="657"/>
      <c r="F117" s="657"/>
      <c r="G117" s="657">
        <f aca="true" t="shared" si="36" ref="G117:X117">G107/G68</f>
        <v>0.024119539982803095</v>
      </c>
      <c r="H117" s="657">
        <f t="shared" si="36"/>
        <v>0.06244865133702289</v>
      </c>
      <c r="I117" s="657">
        <f t="shared" si="36"/>
        <v>0.08364115435486727</v>
      </c>
      <c r="J117" s="657">
        <f t="shared" si="36"/>
        <v>0.09936444881728365</v>
      </c>
      <c r="K117" s="657">
        <f t="shared" si="36"/>
        <v>0.11251316346910367</v>
      </c>
      <c r="L117" s="657">
        <f t="shared" si="36"/>
        <v>0.10164506454816286</v>
      </c>
      <c r="M117" s="657">
        <f t="shared" si="36"/>
        <v>0.11523695785844594</v>
      </c>
      <c r="N117" s="657">
        <f t="shared" si="36"/>
        <v>0.12168894659558799</v>
      </c>
      <c r="O117" s="657">
        <f t="shared" si="36"/>
        <v>0.12795167715977013</v>
      </c>
      <c r="P117" s="657">
        <f t="shared" si="36"/>
        <v>0.13403210256194897</v>
      </c>
      <c r="Q117" s="657">
        <f t="shared" si="36"/>
        <v>0.1399352712142714</v>
      </c>
      <c r="R117" s="657">
        <f t="shared" si="36"/>
        <v>0.1456681891864788</v>
      </c>
      <c r="S117" s="657">
        <f t="shared" si="36"/>
        <v>0.14715884286755923</v>
      </c>
      <c r="T117" s="657">
        <f t="shared" si="36"/>
        <v>0.14584960049329268</v>
      </c>
      <c r="U117" s="657">
        <f t="shared" si="36"/>
        <v>0.14454035811902619</v>
      </c>
      <c r="V117" s="657">
        <f t="shared" si="36"/>
        <v>0.14323111574475964</v>
      </c>
      <c r="W117" s="657">
        <f t="shared" si="36"/>
        <v>0.14192187337049306</v>
      </c>
      <c r="X117" s="657">
        <f t="shared" si="36"/>
        <v>0.14061263099622653</v>
      </c>
      <c r="Y117" s="657">
        <f>Y107/Y68</f>
        <v>0.13930338862196004</v>
      </c>
    </row>
    <row r="118" spans="6:25" ht="15">
      <c r="F118" s="657"/>
      <c r="G118" s="657"/>
      <c r="K118" s="657"/>
      <c r="L118" s="657"/>
      <c r="M118" s="657"/>
      <c r="N118" s="657"/>
      <c r="O118" s="657"/>
      <c r="P118" s="657"/>
      <c r="Q118" s="657"/>
      <c r="R118" s="657"/>
      <c r="S118" s="657"/>
      <c r="T118" s="657"/>
      <c r="U118" s="657"/>
      <c r="V118" s="657"/>
      <c r="W118" s="657"/>
      <c r="X118" s="657"/>
      <c r="Y118" s="657"/>
    </row>
    <row r="119" spans="6:25" ht="15">
      <c r="F119" s="657"/>
      <c r="G119" s="657"/>
      <c r="K119" s="657"/>
      <c r="L119" s="657"/>
      <c r="M119" s="657"/>
      <c r="N119" s="657"/>
      <c r="O119" s="657"/>
      <c r="P119" s="657"/>
      <c r="Q119" s="657"/>
      <c r="R119" s="657"/>
      <c r="S119" s="657"/>
      <c r="T119" s="657"/>
      <c r="U119" s="657"/>
      <c r="V119" s="657"/>
      <c r="W119" s="657"/>
      <c r="X119" s="657"/>
      <c r="Y119" s="657"/>
    </row>
    <row r="120" spans="1:25" s="620" customFormat="1" ht="15">
      <c r="A120" s="35"/>
      <c r="B120" s="35"/>
      <c r="C120" s="659"/>
      <c r="D120" s="660"/>
      <c r="E120" s="660"/>
      <c r="F120" s="35"/>
      <c r="G120" s="35"/>
      <c r="H120" s="35"/>
      <c r="I120" s="35"/>
      <c r="J120" s="35"/>
      <c r="K120" s="657"/>
      <c r="L120" s="657"/>
      <c r="M120" s="657"/>
      <c r="N120" s="657"/>
      <c r="O120" s="657"/>
      <c r="P120" s="657"/>
      <c r="Q120" s="657"/>
      <c r="R120" s="657"/>
      <c r="S120" s="657"/>
      <c r="T120" s="657"/>
      <c r="U120" s="657"/>
      <c r="V120" s="657"/>
      <c r="W120" s="657"/>
      <c r="X120" s="657"/>
      <c r="Y120" s="657"/>
    </row>
    <row r="121" spans="6:12" ht="15">
      <c r="F121" s="35"/>
      <c r="L121" s="710"/>
    </row>
    <row r="122" spans="1:25" s="620" customFormat="1" ht="15">
      <c r="A122" s="35"/>
      <c r="B122" s="35"/>
      <c r="C122" s="35"/>
      <c r="D122" s="658"/>
      <c r="E122" s="659"/>
      <c r="F122" s="659"/>
      <c r="G122" s="659"/>
      <c r="H122" s="660"/>
      <c r="I122" s="660"/>
      <c r="J122" s="660"/>
      <c r="K122" s="660"/>
      <c r="L122" s="660"/>
      <c r="M122" s="660"/>
      <c r="N122" s="660"/>
      <c r="O122" s="660"/>
      <c r="P122" s="660"/>
      <c r="Q122" s="660"/>
      <c r="R122" s="660"/>
      <c r="S122" s="660"/>
      <c r="T122" s="660"/>
      <c r="U122" s="660"/>
      <c r="V122" s="660"/>
      <c r="W122" s="660"/>
      <c r="X122" s="660"/>
      <c r="Y122" s="660"/>
    </row>
    <row r="123" spans="5:25" ht="15">
      <c r="E123" s="657"/>
      <c r="F123" s="657"/>
      <c r="G123" s="657"/>
      <c r="H123" s="661"/>
      <c r="I123" s="661"/>
      <c r="J123" s="661"/>
      <c r="K123" s="661"/>
      <c r="L123" s="661"/>
      <c r="M123" s="661"/>
      <c r="N123" s="661"/>
      <c r="O123" s="661"/>
      <c r="P123" s="661"/>
      <c r="Q123" s="661"/>
      <c r="R123" s="661"/>
      <c r="S123" s="661"/>
      <c r="T123" s="661"/>
      <c r="U123" s="661"/>
      <c r="V123" s="661"/>
      <c r="W123" s="661"/>
      <c r="X123" s="661"/>
      <c r="Y123" s="661"/>
    </row>
    <row r="124" spans="1:25" s="620" customFormat="1" ht="15">
      <c r="A124" s="35"/>
      <c r="B124" s="35"/>
      <c r="C124" s="35"/>
      <c r="D124" s="35"/>
      <c r="E124" s="657"/>
      <c r="F124" s="657"/>
      <c r="G124" s="657"/>
      <c r="H124" s="661"/>
      <c r="I124" s="661"/>
      <c r="J124" s="661"/>
      <c r="K124" s="661"/>
      <c r="L124" s="661"/>
      <c r="M124" s="661"/>
      <c r="N124" s="661"/>
      <c r="O124" s="661"/>
      <c r="P124" s="661"/>
      <c r="Q124" s="661"/>
      <c r="R124" s="661"/>
      <c r="S124" s="661"/>
      <c r="T124" s="661"/>
      <c r="U124" s="661"/>
      <c r="V124" s="661"/>
      <c r="W124" s="661"/>
      <c r="X124" s="661"/>
      <c r="Y124" s="661"/>
    </row>
    <row r="125" spans="5:25" ht="15">
      <c r="E125" s="657"/>
      <c r="F125" s="657"/>
      <c r="G125" s="657"/>
      <c r="H125" s="661"/>
      <c r="I125" s="661"/>
      <c r="J125" s="661"/>
      <c r="K125" s="661"/>
      <c r="L125" s="661"/>
      <c r="M125" s="661"/>
      <c r="N125" s="661"/>
      <c r="O125" s="661"/>
      <c r="P125" s="661"/>
      <c r="Q125" s="661"/>
      <c r="R125" s="661"/>
      <c r="S125" s="661"/>
      <c r="T125" s="661"/>
      <c r="U125" s="661"/>
      <c r="V125" s="661"/>
      <c r="W125" s="661"/>
      <c r="X125" s="661"/>
      <c r="Y125" s="661"/>
    </row>
    <row r="126" spans="5:25" ht="15">
      <c r="E126" s="657"/>
      <c r="F126" s="657"/>
      <c r="G126" s="657"/>
      <c r="H126" s="661"/>
      <c r="I126" s="661"/>
      <c r="J126" s="661"/>
      <c r="K126" s="661"/>
      <c r="L126" s="661"/>
      <c r="M126" s="661"/>
      <c r="N126" s="661"/>
      <c r="O126" s="661"/>
      <c r="P126" s="661"/>
      <c r="Q126" s="661"/>
      <c r="R126" s="661"/>
      <c r="S126" s="661"/>
      <c r="T126" s="661"/>
      <c r="U126" s="661"/>
      <c r="V126" s="661"/>
      <c r="W126" s="661"/>
      <c r="X126" s="661"/>
      <c r="Y126" s="661"/>
    </row>
    <row r="130" spans="4:25" ht="15">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row>
    <row r="133" spans="4:25" ht="15">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row>
  </sheetData>
  <mergeCells count="11">
    <mergeCell ref="Z112:Z114"/>
    <mergeCell ref="Z109:Z111"/>
    <mergeCell ref="Z91:Z92"/>
    <mergeCell ref="Z74:Z75"/>
    <mergeCell ref="P4:Q4"/>
    <mergeCell ref="P5:Q5"/>
    <mergeCell ref="Z9:Z26"/>
    <mergeCell ref="Z64:Z67"/>
    <mergeCell ref="Z77:Z81"/>
    <mergeCell ref="Z103:Z104"/>
    <mergeCell ref="Z83:Z87"/>
  </mergeCells>
  <printOptions/>
  <pageMargins left="0.7" right="0.7" top="0.75" bottom="0.75" header="0.3" footer="0.3"/>
  <pageSetup horizontalDpi="1200" verticalDpi="1200" orientation="portrait" paperSize="9" r:id="rId3"/>
  <ignoredErrors>
    <ignoredError sqref="A11 A48 A32 A53" twoDigitTextYear="1"/>
    <ignoredError sqref="L100:M100 O100 Q10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Z35"/>
  <sheetViews>
    <sheetView zoomScale="90" zoomScaleNormal="90" workbookViewId="0" topLeftCell="H1">
      <selection activeCell="W37" sqref="W37"/>
    </sheetView>
  </sheetViews>
  <sheetFormatPr defaultColWidth="8.8515625" defaultRowHeight="15"/>
  <cols>
    <col min="1" max="1" width="36.7109375" style="35" customWidth="1"/>
    <col min="2" max="25" width="8.8515625" style="35" customWidth="1"/>
    <col min="26" max="26" width="49.140625" style="35" customWidth="1"/>
    <col min="27" max="16384" width="8.8515625" style="35" customWidth="1"/>
  </cols>
  <sheetData>
    <row r="1" spans="1:25" ht="18">
      <c r="A1" s="74" t="s">
        <v>62</v>
      </c>
      <c r="B1" s="75"/>
      <c r="C1" s="75"/>
      <c r="D1" s="75"/>
      <c r="E1" s="75"/>
      <c r="F1" s="75"/>
      <c r="G1" s="21"/>
      <c r="H1" s="21"/>
      <c r="I1" s="21"/>
      <c r="J1" s="21"/>
      <c r="K1" s="21"/>
      <c r="L1" s="21"/>
      <c r="M1" s="21"/>
      <c r="N1" s="21"/>
      <c r="O1" s="21"/>
      <c r="P1" s="21"/>
      <c r="Q1" s="21"/>
      <c r="R1" s="21"/>
      <c r="S1" s="21"/>
      <c r="T1" s="21"/>
      <c r="U1" s="21"/>
      <c r="V1" s="21"/>
      <c r="W1" s="21"/>
      <c r="X1" s="21"/>
      <c r="Y1" s="21"/>
    </row>
    <row r="2" spans="1:25" ht="15">
      <c r="A2" s="21"/>
      <c r="B2" s="21"/>
      <c r="C2" s="21"/>
      <c r="D2" s="21"/>
      <c r="E2" s="21"/>
      <c r="F2" s="21"/>
      <c r="G2" s="21"/>
      <c r="H2" s="21"/>
      <c r="I2" s="21"/>
      <c r="J2" s="21"/>
      <c r="K2" s="21"/>
      <c r="L2" s="21"/>
      <c r="M2" s="21"/>
      <c r="N2" s="21"/>
      <c r="O2" s="77" t="s">
        <v>23</v>
      </c>
      <c r="P2" s="114"/>
      <c r="Q2" s="79" t="str">
        <f>README!I6</f>
        <v>1.1</v>
      </c>
      <c r="R2" s="79"/>
      <c r="S2" s="79"/>
      <c r="T2" s="79"/>
      <c r="U2" s="79"/>
      <c r="V2" s="79"/>
      <c r="W2" s="79"/>
      <c r="X2" s="79"/>
      <c r="Y2" s="79"/>
    </row>
    <row r="3" spans="1:25" ht="15">
      <c r="A3" s="21"/>
      <c r="B3" s="21"/>
      <c r="C3" s="21"/>
      <c r="D3" s="21"/>
      <c r="E3" s="21"/>
      <c r="F3" s="21"/>
      <c r="G3" s="21"/>
      <c r="H3" s="21"/>
      <c r="I3" s="21"/>
      <c r="J3" s="21"/>
      <c r="K3" s="21"/>
      <c r="L3" s="21"/>
      <c r="M3" s="21"/>
      <c r="N3" s="21"/>
      <c r="O3" s="77" t="s">
        <v>19</v>
      </c>
      <c r="P3" s="114"/>
      <c r="Q3" s="79" t="str">
        <f>README!I7</f>
        <v>Philippines</v>
      </c>
      <c r="R3" s="79"/>
      <c r="S3" s="79"/>
      <c r="T3" s="79"/>
      <c r="U3" s="79"/>
      <c r="V3" s="79"/>
      <c r="W3" s="79"/>
      <c r="X3" s="79"/>
      <c r="Y3" s="79"/>
    </row>
    <row r="4" spans="1:25" ht="15">
      <c r="A4" s="21"/>
      <c r="B4" s="21"/>
      <c r="C4" s="21"/>
      <c r="D4" s="21"/>
      <c r="E4" s="21"/>
      <c r="F4" s="21"/>
      <c r="G4" s="21"/>
      <c r="H4" s="21"/>
      <c r="I4" s="21"/>
      <c r="J4" s="21"/>
      <c r="K4" s="21"/>
      <c r="L4" s="21"/>
      <c r="M4" s="21"/>
      <c r="N4" s="21"/>
      <c r="O4" s="77" t="s">
        <v>24</v>
      </c>
      <c r="P4" s="1089">
        <f>README!H8</f>
        <v>41899</v>
      </c>
      <c r="Q4" s="1089"/>
      <c r="R4" s="462"/>
      <c r="S4" s="911"/>
      <c r="T4" s="911"/>
      <c r="U4" s="911"/>
      <c r="V4" s="911"/>
      <c r="W4" s="911"/>
      <c r="X4" s="911"/>
      <c r="Y4" s="911"/>
    </row>
    <row r="5" spans="1:25" ht="15">
      <c r="A5" s="21"/>
      <c r="B5" s="21"/>
      <c r="C5" s="21"/>
      <c r="D5" s="21"/>
      <c r="E5" s="21"/>
      <c r="F5" s="21"/>
      <c r="G5" s="21"/>
      <c r="H5" s="21"/>
      <c r="I5" s="21"/>
      <c r="J5" s="21"/>
      <c r="K5" s="21"/>
      <c r="L5" s="21"/>
      <c r="M5" s="21"/>
      <c r="N5" s="21"/>
      <c r="O5" s="77" t="s">
        <v>15</v>
      </c>
      <c r="P5" s="1089">
        <f>README!H9</f>
        <v>42394</v>
      </c>
      <c r="Q5" s="1089"/>
      <c r="R5" s="462"/>
      <c r="S5" s="911"/>
      <c r="T5" s="911"/>
      <c r="U5" s="911"/>
      <c r="V5" s="911"/>
      <c r="W5" s="911"/>
      <c r="X5" s="911"/>
      <c r="Y5" s="911"/>
    </row>
    <row r="6" spans="1:25" ht="15">
      <c r="A6" s="21"/>
      <c r="B6" s="21"/>
      <c r="C6" s="21"/>
      <c r="D6" s="21"/>
      <c r="E6" s="21"/>
      <c r="F6" s="21"/>
      <c r="G6" s="21"/>
      <c r="H6" s="21"/>
      <c r="I6" s="21"/>
      <c r="J6" s="21"/>
      <c r="K6" s="21"/>
      <c r="L6" s="21"/>
      <c r="M6" s="21"/>
      <c r="N6" s="21"/>
      <c r="O6" s="77" t="s">
        <v>16</v>
      </c>
      <c r="P6" s="114"/>
      <c r="Q6" s="79" t="str">
        <f>README!I10</f>
        <v>Core Group</v>
      </c>
      <c r="R6" s="79"/>
      <c r="S6" s="79"/>
      <c r="T6" s="79"/>
      <c r="U6" s="79"/>
      <c r="V6" s="79"/>
      <c r="W6" s="79"/>
      <c r="X6" s="79"/>
      <c r="Y6" s="79"/>
    </row>
    <row r="7" spans="1:25" ht="15">
      <c r="A7" s="80" t="s">
        <v>95</v>
      </c>
      <c r="B7" s="21"/>
      <c r="C7" s="21"/>
      <c r="D7" s="21"/>
      <c r="E7" s="21"/>
      <c r="F7" s="21"/>
      <c r="G7" s="21"/>
      <c r="H7" s="21"/>
      <c r="I7" s="21"/>
      <c r="J7" s="21"/>
      <c r="K7" s="21"/>
      <c r="L7" s="21"/>
      <c r="M7" s="21"/>
      <c r="N7" s="21"/>
      <c r="O7" s="21"/>
      <c r="P7" s="21"/>
      <c r="Q7" s="21"/>
      <c r="R7" s="21"/>
      <c r="S7" s="21"/>
      <c r="T7" s="21"/>
      <c r="U7" s="21"/>
      <c r="V7" s="21"/>
      <c r="W7" s="21"/>
      <c r="X7" s="21"/>
      <c r="Y7" s="21"/>
    </row>
    <row r="8" spans="1:26" ht="15">
      <c r="A8" s="115" t="s">
        <v>0</v>
      </c>
      <c r="B8" s="116">
        <v>2005</v>
      </c>
      <c r="C8" s="116">
        <v>2006</v>
      </c>
      <c r="D8" s="116">
        <v>2007</v>
      </c>
      <c r="E8" s="116">
        <v>2008</v>
      </c>
      <c r="F8" s="116">
        <v>2009</v>
      </c>
      <c r="G8" s="116">
        <v>2010</v>
      </c>
      <c r="H8" s="116">
        <v>2011</v>
      </c>
      <c r="I8" s="116">
        <v>2012</v>
      </c>
      <c r="J8" s="116">
        <v>2013</v>
      </c>
      <c r="K8" s="116">
        <v>2014</v>
      </c>
      <c r="L8" s="116">
        <v>2015</v>
      </c>
      <c r="M8" s="116">
        <v>2016</v>
      </c>
      <c r="N8" s="116">
        <v>2017</v>
      </c>
      <c r="O8" s="116">
        <v>2018</v>
      </c>
      <c r="P8" s="116">
        <v>2019</v>
      </c>
      <c r="Q8" s="116">
        <v>2020</v>
      </c>
      <c r="R8" s="116">
        <v>2021</v>
      </c>
      <c r="S8" s="116">
        <v>2022</v>
      </c>
      <c r="T8" s="116">
        <v>2023</v>
      </c>
      <c r="U8" s="116">
        <v>2024</v>
      </c>
      <c r="V8" s="116">
        <v>2025</v>
      </c>
      <c r="W8" s="116">
        <v>2026</v>
      </c>
      <c r="X8" s="116">
        <v>2027</v>
      </c>
      <c r="Y8" s="116">
        <v>2028</v>
      </c>
      <c r="Z8" s="117" t="s">
        <v>77</v>
      </c>
    </row>
    <row r="9" spans="1:26" ht="12.75" customHeight="1">
      <c r="A9" s="83" t="s">
        <v>196</v>
      </c>
      <c r="B9" s="84"/>
      <c r="C9" s="85"/>
      <c r="D9" s="85"/>
      <c r="E9" s="85">
        <f>2078+2904</f>
        <v>4982</v>
      </c>
      <c r="F9" s="85">
        <f>2112+2961</f>
        <v>5073</v>
      </c>
      <c r="G9" s="85">
        <f>2055+3077</f>
        <v>5132</v>
      </c>
      <c r="H9" s="85">
        <f>2166+3233</f>
        <v>5399</v>
      </c>
      <c r="I9" s="85">
        <f>2135+3296</f>
        <v>5431</v>
      </c>
      <c r="J9" s="85">
        <v>5464</v>
      </c>
      <c r="K9" s="495">
        <v>5527</v>
      </c>
      <c r="L9" s="330">
        <v>5736.3</v>
      </c>
      <c r="M9" s="330">
        <v>5823.6</v>
      </c>
      <c r="N9" s="330">
        <v>5903.6</v>
      </c>
      <c r="O9" s="330">
        <v>5979.5</v>
      </c>
      <c r="P9" s="330">
        <v>6051.2</v>
      </c>
      <c r="Q9" s="330">
        <v>6116.1</v>
      </c>
      <c r="R9" s="330">
        <v>6173.6</v>
      </c>
      <c r="S9" s="330">
        <v>6224.2</v>
      </c>
      <c r="T9" s="330">
        <v>6266.2</v>
      </c>
      <c r="U9" s="330">
        <v>6297.4</v>
      </c>
      <c r="V9" s="330">
        <v>6316.9</v>
      </c>
      <c r="W9" s="330">
        <v>6323.1</v>
      </c>
      <c r="X9" s="330">
        <v>6318</v>
      </c>
      <c r="Y9" s="331">
        <v>6309.6</v>
      </c>
      <c r="Z9" s="1093" t="s">
        <v>591</v>
      </c>
    </row>
    <row r="10" spans="1:26" ht="15">
      <c r="A10" s="88" t="s">
        <v>197</v>
      </c>
      <c r="B10" s="89"/>
      <c r="C10" s="90"/>
      <c r="D10" s="90"/>
      <c r="E10" s="90">
        <v>14965</v>
      </c>
      <c r="F10" s="90">
        <v>15263</v>
      </c>
      <c r="G10" s="90">
        <v>15635</v>
      </c>
      <c r="H10" s="90">
        <v>15936</v>
      </c>
      <c r="I10" s="90">
        <v>16175</v>
      </c>
      <c r="J10" s="90">
        <v>16457</v>
      </c>
      <c r="K10" s="496">
        <v>16498</v>
      </c>
      <c r="L10" s="332">
        <v>17532</v>
      </c>
      <c r="M10" s="332">
        <v>17931.6</v>
      </c>
      <c r="N10" s="332">
        <v>18312.7</v>
      </c>
      <c r="O10" s="332">
        <v>18691.1</v>
      </c>
      <c r="P10" s="332">
        <v>19087.9</v>
      </c>
      <c r="Q10" s="332">
        <v>19511.7</v>
      </c>
      <c r="R10" s="332">
        <v>19957.7</v>
      </c>
      <c r="S10" s="332">
        <v>20425.5</v>
      </c>
      <c r="T10" s="332">
        <v>20910.3</v>
      </c>
      <c r="U10" s="332">
        <v>21400.9</v>
      </c>
      <c r="V10" s="332">
        <v>21891.8</v>
      </c>
      <c r="W10" s="332">
        <v>22391.6</v>
      </c>
      <c r="X10" s="332">
        <v>22892.7</v>
      </c>
      <c r="Y10" s="333">
        <v>23387.9</v>
      </c>
      <c r="Z10" s="1088"/>
    </row>
    <row r="11" spans="1:26" ht="15">
      <c r="A11" s="88" t="s">
        <v>101</v>
      </c>
      <c r="B11" s="89"/>
      <c r="C11" s="90"/>
      <c r="D11" s="90"/>
      <c r="E11" s="90">
        <v>1885</v>
      </c>
      <c r="F11" s="90">
        <v>1984</v>
      </c>
      <c r="G11" s="90">
        <v>2082</v>
      </c>
      <c r="H11" s="90">
        <v>2134</v>
      </c>
      <c r="I11" s="90">
        <v>2136</v>
      </c>
      <c r="J11" s="90">
        <v>2159</v>
      </c>
      <c r="K11" s="496">
        <v>2178</v>
      </c>
      <c r="L11" s="118">
        <v>2326.4</v>
      </c>
      <c r="M11" s="118">
        <v>2393.7</v>
      </c>
      <c r="N11" s="118">
        <v>2453.8</v>
      </c>
      <c r="O11" s="118">
        <v>2510.2</v>
      </c>
      <c r="P11" s="118">
        <v>2567.5</v>
      </c>
      <c r="Q11" s="118">
        <v>2628</v>
      </c>
      <c r="R11" s="118">
        <v>2690.5</v>
      </c>
      <c r="S11" s="118">
        <v>2753.4</v>
      </c>
      <c r="T11" s="118">
        <v>2815.9</v>
      </c>
      <c r="U11" s="118">
        <v>2877.6</v>
      </c>
      <c r="V11" s="118">
        <v>2938.6</v>
      </c>
      <c r="W11" s="118">
        <v>2999</v>
      </c>
      <c r="X11" s="118">
        <v>3059.8</v>
      </c>
      <c r="Y11" s="119">
        <v>3122.1</v>
      </c>
      <c r="Z11" s="1088"/>
    </row>
    <row r="12" spans="1:26" ht="15">
      <c r="A12" s="93" t="s">
        <v>75</v>
      </c>
      <c r="B12" s="94"/>
      <c r="C12" s="95"/>
      <c r="D12" s="95"/>
      <c r="E12" s="95">
        <v>839</v>
      </c>
      <c r="F12" s="95">
        <v>853</v>
      </c>
      <c r="G12" s="95">
        <v>881</v>
      </c>
      <c r="H12" s="95">
        <v>876</v>
      </c>
      <c r="I12" s="95">
        <v>874</v>
      </c>
      <c r="J12" s="95">
        <v>887</v>
      </c>
      <c r="K12" s="497">
        <v>890</v>
      </c>
      <c r="L12" s="120">
        <v>792.2</v>
      </c>
      <c r="M12" s="120">
        <v>822.4</v>
      </c>
      <c r="N12" s="120">
        <v>857.7</v>
      </c>
      <c r="O12" s="120">
        <v>896.7</v>
      </c>
      <c r="P12" s="120">
        <v>937.4</v>
      </c>
      <c r="Q12" s="120">
        <v>978.6</v>
      </c>
      <c r="R12" s="120">
        <v>1019.8</v>
      </c>
      <c r="S12" s="120">
        <v>1061.4</v>
      </c>
      <c r="T12" s="120">
        <v>1103.4</v>
      </c>
      <c r="U12" s="120">
        <v>1146.2</v>
      </c>
      <c r="V12" s="120">
        <v>1190.1</v>
      </c>
      <c r="W12" s="120">
        <v>1235</v>
      </c>
      <c r="X12" s="120">
        <v>1280.6</v>
      </c>
      <c r="Y12" s="121">
        <v>1326.6</v>
      </c>
      <c r="Z12" s="1088"/>
    </row>
    <row r="13" spans="1:26" ht="15">
      <c r="A13" s="122" t="s">
        <v>14</v>
      </c>
      <c r="B13" s="124"/>
      <c r="C13" s="124"/>
      <c r="D13" s="124"/>
      <c r="E13" s="124">
        <f>SUM(E9:E12)+1</f>
        <v>22672</v>
      </c>
      <c r="F13" s="124">
        <f>SUM(F9:F12)</f>
        <v>23173</v>
      </c>
      <c r="G13" s="124">
        <f>SUM(G9:G12)</f>
        <v>23730</v>
      </c>
      <c r="H13" s="124">
        <f>SUM(H9:H12)</f>
        <v>24345</v>
      </c>
      <c r="I13" s="123">
        <f>SUM(I9:I12)</f>
        <v>24616</v>
      </c>
      <c r="J13" s="123">
        <f>SUM(J9:J12)</f>
        <v>24967</v>
      </c>
      <c r="K13" s="125">
        <f>SUM(ECO!K16+ECO!K19)</f>
        <v>25093</v>
      </c>
      <c r="L13" s="123">
        <v>26386.9</v>
      </c>
      <c r="M13" s="123">
        <v>26971.3</v>
      </c>
      <c r="N13" s="123">
        <v>27527.9</v>
      </c>
      <c r="O13" s="123">
        <v>28077.5</v>
      </c>
      <c r="P13" s="123">
        <v>28644</v>
      </c>
      <c r="Q13" s="124">
        <v>29234.4</v>
      </c>
      <c r="R13" s="123">
        <v>29841.6</v>
      </c>
      <c r="S13" s="123">
        <v>30464.5</v>
      </c>
      <c r="T13" s="123">
        <v>31095.8</v>
      </c>
      <c r="U13" s="123">
        <v>31722.1</v>
      </c>
      <c r="V13" s="123">
        <v>32337.4</v>
      </c>
      <c r="W13" s="123">
        <v>32948.6</v>
      </c>
      <c r="X13" s="123">
        <v>33551</v>
      </c>
      <c r="Y13" s="124">
        <v>34146.2</v>
      </c>
      <c r="Z13" s="1088"/>
    </row>
    <row r="14" spans="11:26" ht="15">
      <c r="K14" s="508"/>
      <c r="L14" s="109"/>
      <c r="M14" s="109"/>
      <c r="N14" s="109"/>
      <c r="O14" s="109"/>
      <c r="P14" s="109"/>
      <c r="Q14" s="109"/>
      <c r="R14" s="109"/>
      <c r="S14" s="109"/>
      <c r="T14" s="109"/>
      <c r="U14" s="109"/>
      <c r="V14" s="109"/>
      <c r="W14" s="109"/>
      <c r="X14" s="109"/>
      <c r="Y14" s="109"/>
      <c r="Z14" s="1088"/>
    </row>
    <row r="15" spans="1:26" ht="15">
      <c r="A15" s="1092" t="s">
        <v>96</v>
      </c>
      <c r="B15" s="1092"/>
      <c r="C15" s="1092"/>
      <c r="D15" s="1092"/>
      <c r="E15" s="1092"/>
      <c r="F15" s="1092"/>
      <c r="G15" s="1092"/>
      <c r="H15" s="1092"/>
      <c r="I15" s="1092"/>
      <c r="K15" s="566"/>
      <c r="Z15" s="1088"/>
    </row>
    <row r="16" spans="1:26" ht="15">
      <c r="A16" s="115" t="s">
        <v>0</v>
      </c>
      <c r="B16" s="116">
        <v>2005</v>
      </c>
      <c r="C16" s="116">
        <v>2006</v>
      </c>
      <c r="D16" s="116">
        <v>2007</v>
      </c>
      <c r="E16" s="116">
        <v>2008</v>
      </c>
      <c r="F16" s="116">
        <v>2009</v>
      </c>
      <c r="G16" s="116">
        <v>2010</v>
      </c>
      <c r="H16" s="339">
        <v>2011</v>
      </c>
      <c r="I16" s="339">
        <v>2012</v>
      </c>
      <c r="J16" s="339">
        <v>2013</v>
      </c>
      <c r="K16" s="116">
        <v>2014</v>
      </c>
      <c r="L16" s="116">
        <v>2015</v>
      </c>
      <c r="M16" s="116">
        <v>2016</v>
      </c>
      <c r="N16" s="116">
        <v>2017</v>
      </c>
      <c r="O16" s="116">
        <v>2018</v>
      </c>
      <c r="P16" s="116">
        <v>2019</v>
      </c>
      <c r="Q16" s="116">
        <v>2020</v>
      </c>
      <c r="R16" s="116">
        <v>2021</v>
      </c>
      <c r="S16" s="116">
        <v>2022</v>
      </c>
      <c r="T16" s="116">
        <v>2023</v>
      </c>
      <c r="U16" s="116">
        <v>2024</v>
      </c>
      <c r="V16" s="116">
        <v>2025</v>
      </c>
      <c r="W16" s="116">
        <v>2026</v>
      </c>
      <c r="X16" s="116">
        <v>2027</v>
      </c>
      <c r="Y16" s="116">
        <v>2028</v>
      </c>
      <c r="Z16" s="1094" t="s">
        <v>327</v>
      </c>
    </row>
    <row r="17" spans="1:26" ht="15">
      <c r="A17" s="83" t="s">
        <v>196</v>
      </c>
      <c r="B17" s="84"/>
      <c r="C17" s="85"/>
      <c r="D17" s="85"/>
      <c r="E17" s="85">
        <f>1242+1744</f>
        <v>2986</v>
      </c>
      <c r="F17" s="85">
        <f>1280+1816</f>
        <v>3096</v>
      </c>
      <c r="G17" s="85">
        <f>1231+1913</f>
        <v>3144</v>
      </c>
      <c r="H17" s="85">
        <f>1277+1999</f>
        <v>3276</v>
      </c>
      <c r="I17" s="85">
        <f>1277+2026</f>
        <v>3303</v>
      </c>
      <c r="J17" s="85">
        <v>3280</v>
      </c>
      <c r="K17" s="495">
        <v>3332</v>
      </c>
      <c r="L17" s="330">
        <v>3491.3</v>
      </c>
      <c r="M17" s="330">
        <v>3544.2</v>
      </c>
      <c r="N17" s="330">
        <v>3590.9</v>
      </c>
      <c r="O17" s="330">
        <v>3634.3</v>
      </c>
      <c r="P17" s="330">
        <v>3677.1</v>
      </c>
      <c r="Q17" s="330">
        <v>3719.1</v>
      </c>
      <c r="R17" s="330">
        <v>3759.8</v>
      </c>
      <c r="S17" s="330">
        <v>3799.4</v>
      </c>
      <c r="T17" s="330">
        <v>3835.9</v>
      </c>
      <c r="U17" s="330">
        <v>3866.5</v>
      </c>
      <c r="V17" s="330">
        <v>3889.9</v>
      </c>
      <c r="W17" s="330">
        <v>3905.7</v>
      </c>
      <c r="X17" s="330">
        <v>3914.4</v>
      </c>
      <c r="Y17" s="331">
        <v>3920.7</v>
      </c>
      <c r="Z17" s="1094"/>
    </row>
    <row r="18" spans="1:26" ht="15">
      <c r="A18" s="88" t="s">
        <v>197</v>
      </c>
      <c r="B18" s="89"/>
      <c r="C18" s="90"/>
      <c r="D18" s="90"/>
      <c r="E18" s="90">
        <v>9220</v>
      </c>
      <c r="F18" s="90">
        <v>9589</v>
      </c>
      <c r="G18" s="90">
        <v>9892</v>
      </c>
      <c r="H18" s="90">
        <v>10183</v>
      </c>
      <c r="I18" s="90">
        <v>10296</v>
      </c>
      <c r="J18" s="90">
        <v>10521</v>
      </c>
      <c r="K18" s="496">
        <v>10682</v>
      </c>
      <c r="L18" s="332">
        <v>10877.4</v>
      </c>
      <c r="M18" s="332">
        <v>11065.9</v>
      </c>
      <c r="N18" s="332">
        <v>11272.2</v>
      </c>
      <c r="O18" s="332">
        <v>11486.1</v>
      </c>
      <c r="P18" s="332">
        <v>11695.4</v>
      </c>
      <c r="Q18" s="332">
        <v>11896.9</v>
      </c>
      <c r="R18" s="332">
        <v>12095.6</v>
      </c>
      <c r="S18" s="332">
        <v>12294.2</v>
      </c>
      <c r="T18" s="332">
        <v>12497</v>
      </c>
      <c r="U18" s="332">
        <v>12708</v>
      </c>
      <c r="V18" s="332">
        <v>12927</v>
      </c>
      <c r="W18" s="332">
        <v>13151.6</v>
      </c>
      <c r="X18" s="332">
        <v>13381.6</v>
      </c>
      <c r="Y18" s="333">
        <v>13612.3</v>
      </c>
      <c r="Z18" s="1094"/>
    </row>
    <row r="19" spans="1:26" ht="15">
      <c r="A19" s="88" t="s">
        <v>101</v>
      </c>
      <c r="B19" s="89"/>
      <c r="C19" s="90"/>
      <c r="D19" s="90"/>
      <c r="E19" s="90">
        <v>1331</v>
      </c>
      <c r="F19" s="90">
        <v>1417</v>
      </c>
      <c r="G19" s="90">
        <v>1484</v>
      </c>
      <c r="H19" s="90">
        <v>1552</v>
      </c>
      <c r="I19" s="90">
        <v>1561</v>
      </c>
      <c r="J19" s="90">
        <v>1601</v>
      </c>
      <c r="K19" s="496">
        <v>1615</v>
      </c>
      <c r="L19" s="118">
        <v>1830.6</v>
      </c>
      <c r="M19" s="118">
        <v>1880.5</v>
      </c>
      <c r="N19" s="118">
        <v>1926</v>
      </c>
      <c r="O19" s="118">
        <v>1968.3</v>
      </c>
      <c r="P19" s="118">
        <v>2007.6</v>
      </c>
      <c r="Q19" s="118">
        <v>2043.9</v>
      </c>
      <c r="R19" s="118">
        <v>2078</v>
      </c>
      <c r="S19" s="118">
        <v>2109.9</v>
      </c>
      <c r="T19" s="118">
        <v>2140.6</v>
      </c>
      <c r="U19" s="118">
        <v>2171.6</v>
      </c>
      <c r="V19" s="118">
        <v>2203.3</v>
      </c>
      <c r="W19" s="118">
        <v>2235.1</v>
      </c>
      <c r="X19" s="118">
        <v>2268.1</v>
      </c>
      <c r="Y19" s="119">
        <v>2302.9</v>
      </c>
      <c r="Z19" s="1094"/>
    </row>
    <row r="20" spans="1:26" ht="15">
      <c r="A20" s="93" t="s">
        <v>75</v>
      </c>
      <c r="B20" s="94"/>
      <c r="C20" s="95"/>
      <c r="D20" s="95"/>
      <c r="E20" s="95">
        <v>595</v>
      </c>
      <c r="F20" s="95">
        <v>617</v>
      </c>
      <c r="G20" s="95">
        <v>644</v>
      </c>
      <c r="H20" s="95">
        <v>649</v>
      </c>
      <c r="I20" s="95">
        <v>651</v>
      </c>
      <c r="J20" s="95">
        <v>653</v>
      </c>
      <c r="K20" s="497">
        <v>656</v>
      </c>
      <c r="L20" s="120">
        <v>667.3</v>
      </c>
      <c r="M20" s="120">
        <v>697.8</v>
      </c>
      <c r="N20" s="120">
        <v>729.2</v>
      </c>
      <c r="O20" s="120">
        <v>761.8</v>
      </c>
      <c r="P20" s="120">
        <v>797.2</v>
      </c>
      <c r="Q20" s="120">
        <v>835.9</v>
      </c>
      <c r="R20" s="120">
        <v>877.1</v>
      </c>
      <c r="S20" s="120">
        <v>921.8</v>
      </c>
      <c r="T20" s="120">
        <v>969.5</v>
      </c>
      <c r="U20" s="120">
        <v>1018.9</v>
      </c>
      <c r="V20" s="120">
        <v>1069</v>
      </c>
      <c r="W20" s="120">
        <v>1121.4</v>
      </c>
      <c r="X20" s="120">
        <v>1174.2</v>
      </c>
      <c r="Y20" s="121">
        <v>1227.4</v>
      </c>
      <c r="Z20" s="502"/>
    </row>
    <row r="21" spans="1:25" ht="15">
      <c r="A21" s="122" t="s">
        <v>14</v>
      </c>
      <c r="B21" s="125"/>
      <c r="C21" s="125"/>
      <c r="D21" s="125"/>
      <c r="E21" s="125">
        <f>SUM(E17:E20)+1</f>
        <v>14133</v>
      </c>
      <c r="F21" s="125">
        <f aca="true" t="shared" si="0" ref="F21:K21">SUM(F17:F20)</f>
        <v>14719</v>
      </c>
      <c r="G21" s="125">
        <f t="shared" si="0"/>
        <v>15164</v>
      </c>
      <c r="H21" s="340">
        <f t="shared" si="0"/>
        <v>15660</v>
      </c>
      <c r="I21" s="340">
        <f t="shared" si="0"/>
        <v>15811</v>
      </c>
      <c r="J21" s="340">
        <f t="shared" si="0"/>
        <v>16055</v>
      </c>
      <c r="K21" s="125">
        <f t="shared" si="0"/>
        <v>16285</v>
      </c>
      <c r="L21" s="125">
        <v>16866.6</v>
      </c>
      <c r="M21" s="125">
        <v>17188.4</v>
      </c>
      <c r="N21" s="125">
        <v>17518.3</v>
      </c>
      <c r="O21" s="125">
        <v>17850.6</v>
      </c>
      <c r="P21" s="125">
        <v>18177.3</v>
      </c>
      <c r="Q21" s="125">
        <v>18495.8</v>
      </c>
      <c r="R21" s="125">
        <v>18810.6</v>
      </c>
      <c r="S21" s="125">
        <v>19125.3</v>
      </c>
      <c r="T21" s="125">
        <v>19443</v>
      </c>
      <c r="U21" s="125">
        <v>19764.9</v>
      </c>
      <c r="V21" s="125">
        <v>20089.1</v>
      </c>
      <c r="W21" s="125">
        <v>20413.8</v>
      </c>
      <c r="X21" s="125">
        <v>20738.3</v>
      </c>
      <c r="Y21" s="125">
        <v>21063.3</v>
      </c>
    </row>
    <row r="22" spans="5:26" ht="15">
      <c r="E22" s="109"/>
      <c r="F22" s="109"/>
      <c r="G22" s="109"/>
      <c r="H22" s="109"/>
      <c r="I22" s="109"/>
      <c r="J22" s="109"/>
      <c r="K22" s="508"/>
      <c r="L22" s="109"/>
      <c r="M22" s="109"/>
      <c r="N22" s="109"/>
      <c r="O22" s="109"/>
      <c r="P22" s="109"/>
      <c r="Q22" s="109"/>
      <c r="R22" s="109"/>
      <c r="S22" s="109"/>
      <c r="T22" s="109"/>
      <c r="U22" s="109"/>
      <c r="V22" s="109"/>
      <c r="W22" s="109"/>
      <c r="X22" s="109"/>
      <c r="Y22" s="109"/>
      <c r="Z22" s="502"/>
    </row>
    <row r="23" spans="1:11" ht="15">
      <c r="A23" s="126" t="s">
        <v>97</v>
      </c>
      <c r="K23" s="566"/>
    </row>
    <row r="24" spans="1:25" ht="15">
      <c r="A24" s="100" t="s">
        <v>0</v>
      </c>
      <c r="B24" s="338">
        <v>2005</v>
      </c>
      <c r="C24" s="116">
        <v>2006</v>
      </c>
      <c r="D24" s="116">
        <v>2007</v>
      </c>
      <c r="E24" s="116">
        <v>2008</v>
      </c>
      <c r="F24" s="116">
        <v>2009</v>
      </c>
      <c r="G24" s="116">
        <v>2010</v>
      </c>
      <c r="H24" s="339">
        <v>2011</v>
      </c>
      <c r="I24" s="339">
        <v>2012</v>
      </c>
      <c r="J24" s="339">
        <v>2013</v>
      </c>
      <c r="K24" s="116">
        <v>2014</v>
      </c>
      <c r="L24" s="116">
        <v>2015</v>
      </c>
      <c r="M24" s="116">
        <v>2016</v>
      </c>
      <c r="N24" s="116">
        <v>2017</v>
      </c>
      <c r="O24" s="116">
        <v>2018</v>
      </c>
      <c r="P24" s="116">
        <v>2019</v>
      </c>
      <c r="Q24" s="116">
        <v>2020</v>
      </c>
      <c r="R24" s="116">
        <v>2021</v>
      </c>
      <c r="S24" s="116">
        <v>2022</v>
      </c>
      <c r="T24" s="116">
        <v>2023</v>
      </c>
      <c r="U24" s="116">
        <v>2024</v>
      </c>
      <c r="V24" s="116">
        <v>2025</v>
      </c>
      <c r="W24" s="116">
        <v>2026</v>
      </c>
      <c r="X24" s="116">
        <v>2027</v>
      </c>
      <c r="Y24" s="116">
        <v>2028</v>
      </c>
    </row>
    <row r="25" spans="1:25" s="41" customFormat="1" ht="15">
      <c r="A25" s="83" t="s">
        <v>196</v>
      </c>
      <c r="B25" s="84">
        <v>7852</v>
      </c>
      <c r="C25" s="85">
        <v>7947.25</v>
      </c>
      <c r="D25" s="85">
        <v>7962.25</v>
      </c>
      <c r="E25" s="85">
        <f aca="true" t="shared" si="1" ref="E25:F28">E9+E17</f>
        <v>7968</v>
      </c>
      <c r="F25" s="85">
        <f t="shared" si="1"/>
        <v>8169</v>
      </c>
      <c r="G25" s="85">
        <f>G9+G17</f>
        <v>8276</v>
      </c>
      <c r="H25" s="85">
        <f aca="true" t="shared" si="2" ref="G25:I28">H9+H17</f>
        <v>8675</v>
      </c>
      <c r="I25" s="85">
        <f t="shared" si="2"/>
        <v>8734</v>
      </c>
      <c r="J25" s="85">
        <v>8744</v>
      </c>
      <c r="K25" s="495">
        <v>8859</v>
      </c>
      <c r="L25" s="334">
        <v>9227.6</v>
      </c>
      <c r="M25" s="334">
        <v>9367.8</v>
      </c>
      <c r="N25" s="334">
        <v>9494.5</v>
      </c>
      <c r="O25" s="334">
        <v>9613.9</v>
      </c>
      <c r="P25" s="334">
        <v>9728.2</v>
      </c>
      <c r="Q25" s="334">
        <v>9835.2</v>
      </c>
      <c r="R25" s="334">
        <v>9933.4</v>
      </c>
      <c r="S25" s="334">
        <v>10023.5</v>
      </c>
      <c r="T25" s="334">
        <v>10102.1</v>
      </c>
      <c r="U25" s="334">
        <v>10163.9</v>
      </c>
      <c r="V25" s="334">
        <v>10206.8</v>
      </c>
      <c r="W25" s="334">
        <v>10228.8</v>
      </c>
      <c r="X25" s="334">
        <v>10232.4</v>
      </c>
      <c r="Y25" s="335">
        <v>10230.2</v>
      </c>
    </row>
    <row r="26" spans="1:25" s="41" customFormat="1" ht="15">
      <c r="A26" s="88" t="s">
        <v>197</v>
      </c>
      <c r="B26" s="89">
        <f>9522.667+7804.333+5559</f>
        <v>22886</v>
      </c>
      <c r="C26" s="90">
        <f>9465.75+7987.5+5749.25</f>
        <v>23202.5</v>
      </c>
      <c r="D26" s="90">
        <f>9657.5+8129+5942</f>
        <v>23728.5</v>
      </c>
      <c r="E26" s="90">
        <f t="shared" si="1"/>
        <v>24185</v>
      </c>
      <c r="F26" s="90">
        <f t="shared" si="1"/>
        <v>24852</v>
      </c>
      <c r="G26" s="90">
        <f t="shared" si="2"/>
        <v>25527</v>
      </c>
      <c r="H26" s="90">
        <f t="shared" si="2"/>
        <v>26119</v>
      </c>
      <c r="I26" s="90">
        <f t="shared" si="2"/>
        <v>26471</v>
      </c>
      <c r="J26" s="90">
        <v>26977</v>
      </c>
      <c r="K26" s="496">
        <v>27180</v>
      </c>
      <c r="L26" s="118">
        <v>28409.4</v>
      </c>
      <c r="M26" s="118">
        <v>28997.5</v>
      </c>
      <c r="N26" s="118">
        <v>29585</v>
      </c>
      <c r="O26" s="118">
        <v>30177.2</v>
      </c>
      <c r="P26" s="118">
        <v>30783.3</v>
      </c>
      <c r="Q26" s="118">
        <v>31408.5</v>
      </c>
      <c r="R26" s="118">
        <v>32053.3</v>
      </c>
      <c r="S26" s="118">
        <v>32719.7</v>
      </c>
      <c r="T26" s="118">
        <v>33407.3</v>
      </c>
      <c r="U26" s="118">
        <v>34108.9</v>
      </c>
      <c r="V26" s="118">
        <v>34818.8</v>
      </c>
      <c r="W26" s="118">
        <v>35543.2</v>
      </c>
      <c r="X26" s="118">
        <v>36274.3</v>
      </c>
      <c r="Y26" s="119">
        <v>37000.2</v>
      </c>
    </row>
    <row r="27" spans="1:25" s="41" customFormat="1" ht="15">
      <c r="A27" s="88" t="s">
        <v>101</v>
      </c>
      <c r="B27" s="89">
        <v>3088.3333333333335</v>
      </c>
      <c r="C27" s="90">
        <v>2947.5</v>
      </c>
      <c r="D27" s="90">
        <v>3095.75</v>
      </c>
      <c r="E27" s="90">
        <f t="shared" si="1"/>
        <v>3216</v>
      </c>
      <c r="F27" s="90">
        <f t="shared" si="1"/>
        <v>3401</v>
      </c>
      <c r="G27" s="90">
        <f>G11+G19</f>
        <v>3566</v>
      </c>
      <c r="H27" s="90">
        <f>H11+H19</f>
        <v>3686</v>
      </c>
      <c r="I27" s="90">
        <f t="shared" si="2"/>
        <v>3697</v>
      </c>
      <c r="J27" s="90">
        <v>3760</v>
      </c>
      <c r="K27" s="496">
        <v>3793</v>
      </c>
      <c r="L27" s="118">
        <v>4157</v>
      </c>
      <c r="M27" s="118">
        <v>4274.2</v>
      </c>
      <c r="N27" s="118">
        <v>4379.8</v>
      </c>
      <c r="O27" s="118">
        <v>4478.5</v>
      </c>
      <c r="P27" s="118">
        <v>4575.1</v>
      </c>
      <c r="Q27" s="118">
        <v>4671.9</v>
      </c>
      <c r="R27" s="118">
        <v>4768.5</v>
      </c>
      <c r="S27" s="118">
        <v>4863.3</v>
      </c>
      <c r="T27" s="118">
        <v>4956.5</v>
      </c>
      <c r="U27" s="118">
        <v>5049.2</v>
      </c>
      <c r="V27" s="118">
        <v>5141.9</v>
      </c>
      <c r="W27" s="118">
        <v>5234.1</v>
      </c>
      <c r="X27" s="118">
        <v>5327.8</v>
      </c>
      <c r="Y27" s="119">
        <v>5425</v>
      </c>
    </row>
    <row r="28" spans="1:25" s="41" customFormat="1" ht="15">
      <c r="A28" s="93" t="s">
        <v>75</v>
      </c>
      <c r="B28" s="94">
        <v>1459</v>
      </c>
      <c r="C28" s="95">
        <v>1365.75</v>
      </c>
      <c r="D28" s="95">
        <v>1426</v>
      </c>
      <c r="E28" s="95">
        <f t="shared" si="1"/>
        <v>1434</v>
      </c>
      <c r="F28" s="95">
        <f t="shared" si="1"/>
        <v>1470</v>
      </c>
      <c r="G28" s="95">
        <f t="shared" si="2"/>
        <v>1525</v>
      </c>
      <c r="H28" s="95">
        <f t="shared" si="2"/>
        <v>1525</v>
      </c>
      <c r="I28" s="95">
        <f t="shared" si="2"/>
        <v>1525</v>
      </c>
      <c r="J28" s="95">
        <v>1540</v>
      </c>
      <c r="K28" s="497">
        <v>1546</v>
      </c>
      <c r="L28" s="120">
        <v>1459.5</v>
      </c>
      <c r="M28" s="120">
        <v>1520.2</v>
      </c>
      <c r="N28" s="120">
        <v>1586.9</v>
      </c>
      <c r="O28" s="120">
        <v>1658.5</v>
      </c>
      <c r="P28" s="120">
        <v>1734.7</v>
      </c>
      <c r="Q28" s="120">
        <v>1814.6</v>
      </c>
      <c r="R28" s="120">
        <v>1897</v>
      </c>
      <c r="S28" s="120">
        <v>1983.1</v>
      </c>
      <c r="T28" s="120">
        <v>2072.9</v>
      </c>
      <c r="U28" s="120">
        <v>2165.1</v>
      </c>
      <c r="V28" s="120">
        <v>2259.1</v>
      </c>
      <c r="W28" s="120">
        <v>2356.4</v>
      </c>
      <c r="X28" s="120">
        <v>2454.8</v>
      </c>
      <c r="Y28" s="121">
        <v>2554</v>
      </c>
    </row>
    <row r="29" spans="1:25" ht="15">
      <c r="A29" s="122" t="s">
        <v>14</v>
      </c>
      <c r="B29" s="336">
        <f>SUM(B25:B28)+1.67</f>
        <v>35287.003333333334</v>
      </c>
      <c r="C29" s="336">
        <f>SUM(C25:C28)+1</f>
        <v>35464</v>
      </c>
      <c r="D29" s="336">
        <f>SUM(D25:D28)+2</f>
        <v>36214.5</v>
      </c>
      <c r="E29" s="336">
        <f>SUM(E25:E28)+1</f>
        <v>36804</v>
      </c>
      <c r="F29" s="336">
        <f>SUM(F25:F28)</f>
        <v>37892</v>
      </c>
      <c r="G29" s="336">
        <f>SUM(G25:G28)</f>
        <v>38894</v>
      </c>
      <c r="H29" s="336">
        <f>SUM(H25:H28)+1</f>
        <v>40006</v>
      </c>
      <c r="I29" s="337">
        <f>SUM(I25:I28)+1</f>
        <v>40428</v>
      </c>
      <c r="J29" s="337">
        <f>SUM(J25:J28)</f>
        <v>41021</v>
      </c>
      <c r="K29" s="337">
        <f>SUM(K25:K28)+1</f>
        <v>41379</v>
      </c>
      <c r="L29" s="125">
        <v>43253.5</v>
      </c>
      <c r="M29" s="125">
        <v>44159.7</v>
      </c>
      <c r="N29" s="125">
        <v>45046.1</v>
      </c>
      <c r="O29" s="125">
        <v>45928</v>
      </c>
      <c r="P29" s="125">
        <v>46821.3</v>
      </c>
      <c r="Q29" s="125">
        <v>47730.2</v>
      </c>
      <c r="R29" s="125">
        <v>48652.2</v>
      </c>
      <c r="S29" s="125">
        <v>49589.7</v>
      </c>
      <c r="T29" s="125">
        <v>50538.7</v>
      </c>
      <c r="U29" s="125">
        <v>51487</v>
      </c>
      <c r="V29" s="125">
        <v>52426.6</v>
      </c>
      <c r="W29" s="125">
        <v>53362.4</v>
      </c>
      <c r="X29" s="125">
        <v>54289.4</v>
      </c>
      <c r="Y29" s="125">
        <v>55209.4</v>
      </c>
    </row>
    <row r="30" spans="11:25" ht="15">
      <c r="K30" s="494"/>
      <c r="L30" s="109"/>
      <c r="M30" s="109"/>
      <c r="N30" s="109"/>
      <c r="O30" s="109"/>
      <c r="P30" s="109"/>
      <c r="Q30" s="109"/>
      <c r="R30" s="109"/>
      <c r="S30" s="109"/>
      <c r="T30" s="109"/>
      <c r="U30" s="109"/>
      <c r="V30" s="109"/>
      <c r="W30" s="109"/>
      <c r="X30" s="109"/>
      <c r="Y30" s="109"/>
    </row>
    <row r="31" ht="15">
      <c r="A31" s="126" t="s">
        <v>248</v>
      </c>
    </row>
    <row r="32" spans="1:25" ht="15">
      <c r="A32" s="100"/>
      <c r="B32" s="116">
        <v>2005</v>
      </c>
      <c r="C32" s="116">
        <v>2006</v>
      </c>
      <c r="D32" s="116">
        <v>2007</v>
      </c>
      <c r="E32" s="116">
        <v>2008</v>
      </c>
      <c r="F32" s="116">
        <v>2009</v>
      </c>
      <c r="G32" s="116">
        <v>2010</v>
      </c>
      <c r="H32" s="339">
        <v>2011</v>
      </c>
      <c r="I32" s="339">
        <v>2012</v>
      </c>
      <c r="J32" s="116">
        <v>2013</v>
      </c>
      <c r="K32" s="116">
        <v>2014</v>
      </c>
      <c r="L32" s="116">
        <v>2015</v>
      </c>
      <c r="M32" s="116">
        <v>2016</v>
      </c>
      <c r="N32" s="116">
        <v>2017</v>
      </c>
      <c r="O32" s="116">
        <v>2018</v>
      </c>
      <c r="P32" s="116">
        <v>2019</v>
      </c>
      <c r="Q32" s="116">
        <v>2020</v>
      </c>
      <c r="R32" s="469">
        <v>2021</v>
      </c>
      <c r="S32" s="469">
        <v>2022</v>
      </c>
      <c r="T32" s="116">
        <v>2023</v>
      </c>
      <c r="U32" s="116">
        <v>2024</v>
      </c>
      <c r="V32" s="469">
        <v>2025</v>
      </c>
      <c r="W32" s="469">
        <v>2026</v>
      </c>
      <c r="X32" s="116">
        <v>2027</v>
      </c>
      <c r="Y32" s="116">
        <v>2028</v>
      </c>
    </row>
    <row r="33" spans="1:26" ht="15">
      <c r="A33" s="392" t="s">
        <v>250</v>
      </c>
      <c r="B33" s="84"/>
      <c r="C33" s="85"/>
      <c r="D33" s="394">
        <f>(D34/ECO!D15)</f>
        <v>0.35117699642431466</v>
      </c>
      <c r="E33" s="394">
        <f>(E34/ECO!E15)</f>
        <v>0.3528924286426707</v>
      </c>
      <c r="F33" s="394">
        <f>(F34/ECO!F15)</f>
        <v>0.34347993497048</v>
      </c>
      <c r="G33" s="394">
        <f>(G34/ECO!G15)</f>
        <v>0.331788538920494</v>
      </c>
      <c r="H33" s="394">
        <f>(H34/ECO!H15)</f>
        <v>0.3298558829855883</v>
      </c>
      <c r="I33" s="394">
        <f>(I34/ECO!I15)</f>
        <v>0.32159574468085106</v>
      </c>
      <c r="J33" s="394">
        <f>(J34/ECO!J15)</f>
        <v>0.31050947059132167</v>
      </c>
      <c r="K33" s="468">
        <f>(K34/ECO!K15)</f>
        <v>0.3053219839072728</v>
      </c>
      <c r="L33" s="398">
        <v>0.298860737498112</v>
      </c>
      <c r="M33" s="398">
        <v>0.29235759809773093</v>
      </c>
      <c r="N33" s="398">
        <v>0.2859959654821315</v>
      </c>
      <c r="O33" s="398">
        <v>0.27977276049693806</v>
      </c>
      <c r="P33" s="398">
        <v>0.2736849709894506</v>
      </c>
      <c r="Q33" s="398">
        <v>0.26772965035070373</v>
      </c>
      <c r="R33" s="398">
        <v>0.261903916089251</v>
      </c>
      <c r="S33" s="398">
        <v>0.256204948435981</v>
      </c>
      <c r="T33" s="398">
        <v>0.256204948435981</v>
      </c>
      <c r="U33" s="398">
        <v>0.256204948435981</v>
      </c>
      <c r="V33" s="398">
        <v>0.256204948435981</v>
      </c>
      <c r="W33" s="398">
        <v>0.256204948435981</v>
      </c>
      <c r="X33" s="398">
        <v>0.256204948435981</v>
      </c>
      <c r="Y33" s="398">
        <v>0.256204948435981</v>
      </c>
      <c r="Z33" s="461" t="s">
        <v>297</v>
      </c>
    </row>
    <row r="34" spans="1:26" ht="15">
      <c r="A34" s="393" t="s">
        <v>249</v>
      </c>
      <c r="B34" s="94"/>
      <c r="C34" s="95"/>
      <c r="D34" s="95">
        <v>11785.5</v>
      </c>
      <c r="E34" s="95">
        <v>12029.75</v>
      </c>
      <c r="F34" s="95">
        <v>12042.75</v>
      </c>
      <c r="G34" s="95">
        <v>11956</v>
      </c>
      <c r="H34" s="95">
        <v>12268</v>
      </c>
      <c r="I34" s="95">
        <v>12092</v>
      </c>
      <c r="J34" s="95">
        <v>11836</v>
      </c>
      <c r="K34" s="103">
        <v>11801</v>
      </c>
      <c r="L34" s="120">
        <f>L33*ECO!L15</f>
        <v>12125.312988993363</v>
      </c>
      <c r="M34" s="120">
        <f>M33*ECO!M15</f>
        <v>12135.798395233385</v>
      </c>
      <c r="N34" s="120">
        <f>N33*ECO!N15</f>
        <v>12122.905691923072</v>
      </c>
      <c r="O34" s="120">
        <f>O33*ECO!O15</f>
        <v>12104.137950145376</v>
      </c>
      <c r="P34" s="120">
        <f>P33*ECO!P15</f>
        <v>12083.871822653628</v>
      </c>
      <c r="Q34" s="120">
        <f>Q33*ECO!Q15</f>
        <v>12063.177530767685</v>
      </c>
      <c r="R34" s="120">
        <f>R33*ECO!R15</f>
        <v>12041.157065109439</v>
      </c>
      <c r="S34" s="120">
        <f>S33*ECO!S15</f>
        <v>12018.384918360003</v>
      </c>
      <c r="T34" s="120">
        <f>T33*ECO!T15</f>
        <v>12260.65987711032</v>
      </c>
      <c r="U34" s="120">
        <f>U33*ECO!U15</f>
        <v>12503.006518877068</v>
      </c>
      <c r="V34" s="120">
        <f>V33*ECO!V15</f>
        <v>12743.471556303273</v>
      </c>
      <c r="W34" s="120">
        <f>W33*ECO!W15</f>
        <v>12983.233169585397</v>
      </c>
      <c r="X34" s="120">
        <f>X33*ECO!X15</f>
        <v>13221.063454231476</v>
      </c>
      <c r="Y34" s="120">
        <f>Y33*ECO!Y15</f>
        <v>13457.387861934993</v>
      </c>
      <c r="Z34" s="461"/>
    </row>
    <row r="35" ht="15">
      <c r="J35" s="109"/>
    </row>
  </sheetData>
  <mergeCells count="5">
    <mergeCell ref="A15:I15"/>
    <mergeCell ref="P4:Q4"/>
    <mergeCell ref="P5:Q5"/>
    <mergeCell ref="Z9:Z15"/>
    <mergeCell ref="Z16:Z19"/>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000396251678"/>
  </sheetPr>
  <dimension ref="A1:Z99"/>
  <sheetViews>
    <sheetView zoomScale="87" zoomScaleNormal="87" zoomScaleSheetLayoutView="100" workbookViewId="0" topLeftCell="A1">
      <pane ySplit="8" topLeftCell="A45" activePane="bottomLeft" state="frozen"/>
      <selection pane="bottomLeft" activeCell="T21" sqref="T21"/>
    </sheetView>
  </sheetViews>
  <sheetFormatPr defaultColWidth="8.8515625" defaultRowHeight="15"/>
  <cols>
    <col min="1" max="1" width="36.7109375" style="208" customWidth="1"/>
    <col min="2" max="8" width="8.8515625" style="35" customWidth="1"/>
    <col min="9" max="9" width="10.57421875" style="35" customWidth="1"/>
    <col min="10" max="25" width="8.8515625" style="35" customWidth="1"/>
    <col min="26" max="26" width="93.00390625" style="35" customWidth="1"/>
    <col min="27" max="16384" width="8.8515625" style="35" customWidth="1"/>
  </cols>
  <sheetData>
    <row r="1" spans="1:25" s="133" customFormat="1" ht="18">
      <c r="A1" s="128" t="s">
        <v>231</v>
      </c>
      <c r="B1" s="130"/>
      <c r="C1" s="131"/>
      <c r="D1" s="131"/>
      <c r="E1" s="132"/>
      <c r="F1" s="132"/>
      <c r="G1" s="132"/>
      <c r="H1" s="132"/>
      <c r="I1" s="132"/>
      <c r="J1" s="132"/>
      <c r="K1" s="132"/>
      <c r="L1" s="132"/>
      <c r="M1" s="132"/>
      <c r="N1" s="132"/>
      <c r="O1" s="132"/>
      <c r="P1" s="132"/>
      <c r="Q1" s="132"/>
      <c r="R1" s="132"/>
      <c r="S1" s="132"/>
      <c r="T1" s="132"/>
      <c r="U1" s="132"/>
      <c r="V1" s="132"/>
      <c r="W1" s="132"/>
      <c r="X1" s="132"/>
      <c r="Y1" s="132"/>
    </row>
    <row r="2" spans="1:25" s="133" customFormat="1" ht="15">
      <c r="A2" s="132"/>
      <c r="B2" s="132"/>
      <c r="C2" s="132"/>
      <c r="D2" s="132"/>
      <c r="E2" s="132"/>
      <c r="F2" s="132"/>
      <c r="G2" s="132"/>
      <c r="H2" s="512"/>
      <c r="I2" s="132"/>
      <c r="J2" s="132"/>
      <c r="K2" s="132"/>
      <c r="L2" s="132"/>
      <c r="M2" s="132"/>
      <c r="N2" s="132"/>
      <c r="O2" s="77" t="s">
        <v>23</v>
      </c>
      <c r="P2" s="77"/>
      <c r="Q2" s="79" t="str">
        <f>README!I6</f>
        <v>1.1</v>
      </c>
      <c r="R2" s="79"/>
      <c r="S2" s="79"/>
      <c r="T2" s="79"/>
      <c r="U2" s="79"/>
      <c r="V2" s="79"/>
      <c r="W2" s="79"/>
      <c r="X2" s="79"/>
      <c r="Y2" s="79"/>
    </row>
    <row r="3" spans="1:25" s="133" customFormat="1" ht="15">
      <c r="A3" s="132"/>
      <c r="B3" s="132"/>
      <c r="C3" s="132"/>
      <c r="D3" s="132"/>
      <c r="E3" s="132"/>
      <c r="F3" s="132"/>
      <c r="G3" s="132"/>
      <c r="H3" s="132"/>
      <c r="I3" s="132"/>
      <c r="J3" s="132"/>
      <c r="K3" s="132"/>
      <c r="L3" s="132"/>
      <c r="M3" s="132"/>
      <c r="N3" s="132"/>
      <c r="O3" s="77" t="s">
        <v>16</v>
      </c>
      <c r="P3" s="77"/>
      <c r="Q3" s="79" t="str">
        <f>README!I7</f>
        <v>Philippines</v>
      </c>
      <c r="R3" s="79"/>
      <c r="S3" s="79"/>
      <c r="T3" s="79"/>
      <c r="U3" s="79"/>
      <c r="V3" s="79"/>
      <c r="W3" s="79"/>
      <c r="X3" s="79"/>
      <c r="Y3" s="79"/>
    </row>
    <row r="4" spans="1:25" s="133" customFormat="1" ht="15">
      <c r="A4" s="132"/>
      <c r="B4" s="132"/>
      <c r="C4" s="132">
        <f>(1000*(1+ECO!O10)*(1+ECO!P10)*(1+ECO!Q10)*(1+ECO!R10)*(1+ECO!S10))*10</f>
        <v>11762.2894957056</v>
      </c>
      <c r="D4" s="132"/>
      <c r="E4" s="132"/>
      <c r="F4" s="132"/>
      <c r="G4" s="132"/>
      <c r="H4" s="132"/>
      <c r="I4" s="132"/>
      <c r="J4" s="132"/>
      <c r="K4" s="132"/>
      <c r="L4" s="132"/>
      <c r="M4" s="132"/>
      <c r="N4" s="132"/>
      <c r="O4" s="77" t="s">
        <v>24</v>
      </c>
      <c r="P4" s="1089">
        <f>README!H8</f>
        <v>41899</v>
      </c>
      <c r="Q4" s="1089">
        <f>README!I8</f>
        <v>0</v>
      </c>
      <c r="R4" s="462"/>
      <c r="S4" s="911"/>
      <c r="T4" s="911"/>
      <c r="U4" s="911"/>
      <c r="V4" s="911"/>
      <c r="W4" s="911"/>
      <c r="X4" s="911"/>
      <c r="Y4" s="911"/>
    </row>
    <row r="5" spans="1:25" s="133" customFormat="1" ht="15">
      <c r="A5" s="132"/>
      <c r="B5" s="129"/>
      <c r="C5" s="132">
        <f>(1000*(1+ECO!E10)*(1+ECO!F10)*(1+ECO!G10)*(1+ECO!H10)*(1+ECO!I10))*10</f>
        <v>12643.343051506312</v>
      </c>
      <c r="D5" s="132"/>
      <c r="E5" s="132"/>
      <c r="F5" s="132"/>
      <c r="G5" s="132"/>
      <c r="H5" s="132"/>
      <c r="I5" s="132"/>
      <c r="J5" s="132"/>
      <c r="K5" s="132"/>
      <c r="L5" s="132"/>
      <c r="M5" s="132"/>
      <c r="N5" s="132"/>
      <c r="O5" s="77" t="s">
        <v>15</v>
      </c>
      <c r="P5" s="1089">
        <f>README!H9</f>
        <v>42394</v>
      </c>
      <c r="Q5" s="1089">
        <f>README!I9</f>
        <v>0</v>
      </c>
      <c r="R5" s="462"/>
      <c r="S5" s="911"/>
      <c r="T5" s="911"/>
      <c r="U5" s="911"/>
      <c r="V5" s="911"/>
      <c r="W5" s="911"/>
      <c r="X5" s="911"/>
      <c r="Y5" s="911"/>
    </row>
    <row r="6" spans="1:25" s="133" customFormat="1" ht="15">
      <c r="A6" s="132"/>
      <c r="B6" s="512"/>
      <c r="C6" s="134"/>
      <c r="D6" s="132"/>
      <c r="E6" s="134"/>
      <c r="F6" s="132"/>
      <c r="G6" s="132"/>
      <c r="H6" s="132"/>
      <c r="I6" s="132"/>
      <c r="J6" s="132"/>
      <c r="K6" s="132"/>
      <c r="L6" s="132"/>
      <c r="M6" s="132"/>
      <c r="N6" s="132"/>
      <c r="O6" s="77" t="s">
        <v>16</v>
      </c>
      <c r="P6" s="77"/>
      <c r="Q6" s="79" t="str">
        <f>README!I10</f>
        <v>Core Group</v>
      </c>
      <c r="R6" s="79"/>
      <c r="S6" s="79"/>
      <c r="T6" s="79"/>
      <c r="U6" s="79"/>
      <c r="V6" s="79"/>
      <c r="W6" s="79"/>
      <c r="X6" s="79"/>
      <c r="Y6" s="79"/>
    </row>
    <row r="7" spans="1:25" s="133" customFormat="1" ht="15">
      <c r="A7" s="132"/>
      <c r="B7" s="132"/>
      <c r="C7" s="132"/>
      <c r="D7" s="132"/>
      <c r="E7" s="132"/>
      <c r="F7" s="132"/>
      <c r="G7" s="132"/>
      <c r="H7" s="132"/>
      <c r="I7" s="134"/>
      <c r="J7" s="134"/>
      <c r="K7" s="134"/>
      <c r="L7" s="134"/>
      <c r="M7" s="134"/>
      <c r="N7" s="134"/>
      <c r="O7" s="134"/>
      <c r="P7" s="134"/>
      <c r="Q7" s="134"/>
      <c r="R7" s="134"/>
      <c r="S7" s="134"/>
      <c r="T7" s="134"/>
      <c r="U7" s="134"/>
      <c r="V7" s="134"/>
      <c r="W7" s="134"/>
      <c r="X7" s="134"/>
      <c r="Y7" s="134"/>
    </row>
    <row r="8" spans="1:26" s="133" customFormat="1" ht="15">
      <c r="A8" s="135" t="s">
        <v>76</v>
      </c>
      <c r="B8" s="26">
        <v>2005</v>
      </c>
      <c r="C8" s="26">
        <v>2006</v>
      </c>
      <c r="D8" s="26">
        <v>2007</v>
      </c>
      <c r="E8" s="26">
        <v>2008</v>
      </c>
      <c r="F8" s="26">
        <v>2009</v>
      </c>
      <c r="G8" s="26">
        <v>2010</v>
      </c>
      <c r="H8" s="26">
        <v>2011</v>
      </c>
      <c r="I8" s="26">
        <v>2012</v>
      </c>
      <c r="J8" s="26">
        <v>2013</v>
      </c>
      <c r="K8" s="26">
        <v>2014</v>
      </c>
      <c r="L8" s="26">
        <v>2015</v>
      </c>
      <c r="M8" s="26">
        <v>2016</v>
      </c>
      <c r="N8" s="26">
        <v>2017</v>
      </c>
      <c r="O8" s="26">
        <v>2018</v>
      </c>
      <c r="P8" s="26">
        <v>2019</v>
      </c>
      <c r="Q8" s="26">
        <v>2020</v>
      </c>
      <c r="R8" s="26">
        <v>2021</v>
      </c>
      <c r="S8" s="26">
        <v>2022</v>
      </c>
      <c r="T8" s="26">
        <v>2023</v>
      </c>
      <c r="U8" s="26">
        <v>2024</v>
      </c>
      <c r="V8" s="26">
        <v>2025</v>
      </c>
      <c r="W8" s="26">
        <v>2026</v>
      </c>
      <c r="X8" s="26">
        <v>2027</v>
      </c>
      <c r="Y8" s="82">
        <v>2028</v>
      </c>
      <c r="Z8" s="117" t="s">
        <v>77</v>
      </c>
    </row>
    <row r="9" spans="1:26" s="140" customFormat="1" ht="15" customHeight="1">
      <c r="A9" s="136" t="s">
        <v>311</v>
      </c>
      <c r="B9" s="595">
        <v>94.8</v>
      </c>
      <c r="C9" s="596">
        <v>100</v>
      </c>
      <c r="D9" s="596">
        <v>102.9</v>
      </c>
      <c r="E9" s="596">
        <v>111.4</v>
      </c>
      <c r="F9" s="596">
        <v>116</v>
      </c>
      <c r="G9" s="596">
        <v>120.4</v>
      </c>
      <c r="H9" s="596">
        <v>126.1</v>
      </c>
      <c r="I9" s="596">
        <v>130.1</v>
      </c>
      <c r="J9" s="597">
        <v>133.95</v>
      </c>
      <c r="K9" s="598">
        <v>139.542</v>
      </c>
      <c r="L9" s="599">
        <v>141.409</v>
      </c>
      <c r="M9" s="599">
        <v>146.468</v>
      </c>
      <c r="N9" s="599">
        <v>151.964</v>
      </c>
      <c r="O9" s="599">
        <v>157.731</v>
      </c>
      <c r="P9" s="599">
        <v>163.56</v>
      </c>
      <c r="Q9" s="599">
        <v>169.414</v>
      </c>
      <c r="R9" s="600">
        <v>174.461466666667</v>
      </c>
      <c r="S9" s="600">
        <v>179.947838095238</v>
      </c>
      <c r="T9" s="600"/>
      <c r="U9" s="600"/>
      <c r="V9" s="600"/>
      <c r="W9" s="600"/>
      <c r="X9" s="600"/>
      <c r="Y9" s="926"/>
      <c r="Z9" s="1097" t="s">
        <v>476</v>
      </c>
    </row>
    <row r="10" spans="1:26" s="140" customFormat="1" ht="15">
      <c r="A10" s="141" t="s">
        <v>109</v>
      </c>
      <c r="B10" s="142">
        <v>0.0652</v>
      </c>
      <c r="C10" s="143">
        <f aca="true" t="shared" si="0" ref="C10:L10">C9/B9-1</f>
        <v>0.05485232067510548</v>
      </c>
      <c r="D10" s="143">
        <f t="shared" si="0"/>
        <v>0.029000000000000137</v>
      </c>
      <c r="E10" s="143">
        <f t="shared" si="0"/>
        <v>0.0826044703595723</v>
      </c>
      <c r="F10" s="143">
        <f t="shared" si="0"/>
        <v>0.04129263913824044</v>
      </c>
      <c r="G10" s="143">
        <f t="shared" si="0"/>
        <v>0.037931034482758585</v>
      </c>
      <c r="H10" s="143">
        <f t="shared" si="0"/>
        <v>0.047342192691029794</v>
      </c>
      <c r="I10" s="143">
        <f t="shared" si="0"/>
        <v>0.031720856463124614</v>
      </c>
      <c r="J10" s="143">
        <f t="shared" si="0"/>
        <v>0.029592621060722468</v>
      </c>
      <c r="K10" s="815">
        <f t="shared" si="0"/>
        <v>0.04174692049272122</v>
      </c>
      <c r="L10" s="144">
        <f t="shared" si="0"/>
        <v>0.01337948431296665</v>
      </c>
      <c r="M10" s="144">
        <v>0.027</v>
      </c>
      <c r="N10" s="144">
        <v>0.041</v>
      </c>
      <c r="O10" s="144">
        <v>0.03</v>
      </c>
      <c r="P10" s="144">
        <v>0.039</v>
      </c>
      <c r="Q10" s="927">
        <v>0.032</v>
      </c>
      <c r="R10" s="921">
        <f>Q10</f>
        <v>0.032</v>
      </c>
      <c r="S10" s="921">
        <f>R10</f>
        <v>0.032</v>
      </c>
      <c r="T10" s="921">
        <f aca="true" t="shared" si="1" ref="T10:Y10">S10</f>
        <v>0.032</v>
      </c>
      <c r="U10" s="921">
        <f t="shared" si="1"/>
        <v>0.032</v>
      </c>
      <c r="V10" s="921">
        <f t="shared" si="1"/>
        <v>0.032</v>
      </c>
      <c r="W10" s="921">
        <f t="shared" si="1"/>
        <v>0.032</v>
      </c>
      <c r="X10" s="921">
        <f t="shared" si="1"/>
        <v>0.032</v>
      </c>
      <c r="Y10" s="928">
        <f t="shared" si="1"/>
        <v>0.032</v>
      </c>
      <c r="Z10" s="1096"/>
    </row>
    <row r="11" spans="1:25" s="133" customFormat="1" ht="15">
      <c r="A11" s="145"/>
      <c r="B11" s="146"/>
      <c r="C11" s="146"/>
      <c r="D11" s="146"/>
      <c r="E11" s="146"/>
      <c r="F11" s="146"/>
      <c r="G11" s="146"/>
      <c r="H11" s="147"/>
      <c r="I11" s="147"/>
      <c r="J11" s="147"/>
      <c r="K11" s="147"/>
      <c r="L11" s="147"/>
      <c r="M11" s="147"/>
      <c r="N11" s="147"/>
      <c r="O11" s="147"/>
      <c r="P11" s="147"/>
      <c r="Q11" s="147"/>
      <c r="R11" s="147"/>
      <c r="S11" s="147"/>
      <c r="T11" s="147"/>
      <c r="U11" s="147"/>
      <c r="V11" s="147"/>
      <c r="W11" s="147"/>
      <c r="X11" s="147"/>
      <c r="Y11" s="148"/>
    </row>
    <row r="12" spans="1:26" s="133" customFormat="1" ht="15.75" customHeight="1">
      <c r="A12" s="324" t="s">
        <v>92</v>
      </c>
      <c r="B12" s="150">
        <f aca="true" t="shared" si="2" ref="B12:H12">B65*10^6/B15</f>
        <v>138683.47104880388</v>
      </c>
      <c r="C12" s="150">
        <f t="shared" si="2"/>
        <v>144510.0808922662</v>
      </c>
      <c r="D12" s="150">
        <f t="shared" si="2"/>
        <v>149829.79737783075</v>
      </c>
      <c r="E12" s="150">
        <f t="shared" si="2"/>
        <v>153630.2326263604</v>
      </c>
      <c r="F12" s="150">
        <f t="shared" si="2"/>
        <v>151086.3922877271</v>
      </c>
      <c r="G12" s="150">
        <f t="shared" si="2"/>
        <v>158222.256139864</v>
      </c>
      <c r="H12" s="150">
        <f t="shared" si="2"/>
        <v>158878.25338782533</v>
      </c>
      <c r="I12" s="150">
        <v>167692</v>
      </c>
      <c r="J12" s="150">
        <v>177084</v>
      </c>
      <c r="K12" s="176">
        <v>185351</v>
      </c>
      <c r="L12" s="151">
        <f>L65*10^6/L15</f>
        <v>188794.66056495468</v>
      </c>
      <c r="M12" s="151">
        <f aca="true" t="shared" si="3" ref="M12:Q12">M65*10^6/M15</f>
        <v>196143.69682109795</v>
      </c>
      <c r="N12" s="151">
        <f t="shared" si="3"/>
        <v>203610.56449052648</v>
      </c>
      <c r="O12" s="151">
        <f t="shared" si="3"/>
        <v>211458.11259643544</v>
      </c>
      <c r="P12" s="151">
        <f t="shared" si="3"/>
        <v>219642.06096943683</v>
      </c>
      <c r="Q12" s="151">
        <f t="shared" si="3"/>
        <v>228145.69431186267</v>
      </c>
      <c r="R12" s="151">
        <f>R65*10^6/R15</f>
        <v>237004.81077627017</v>
      </c>
      <c r="S12" s="151">
        <f>S65*10^6/S15</f>
        <v>246224.15760705172</v>
      </c>
      <c r="T12" s="151">
        <f aca="true" t="shared" si="4" ref="T12:Y12">T65*10^6/T15</f>
        <v>255840.20239529002</v>
      </c>
      <c r="U12" s="151">
        <f t="shared" si="4"/>
        <v>265934.10806490766</v>
      </c>
      <c r="V12" s="151">
        <f t="shared" si="4"/>
        <v>276570.9818050039</v>
      </c>
      <c r="W12" s="151">
        <f t="shared" si="4"/>
        <v>287751.35265063535</v>
      </c>
      <c r="X12" s="151">
        <f t="shared" si="4"/>
        <v>299529.5722175019</v>
      </c>
      <c r="Y12" s="152">
        <f t="shared" si="4"/>
        <v>311925.7238191255</v>
      </c>
      <c r="Z12" s="1096" t="s">
        <v>228</v>
      </c>
    </row>
    <row r="13" spans="1:26" s="133" customFormat="1" ht="15">
      <c r="A13" s="325" t="s">
        <v>91</v>
      </c>
      <c r="B13" s="322"/>
      <c r="C13" s="154">
        <f aca="true" t="shared" si="5" ref="C13:R13">(C12-B12)/B12</f>
        <v>0.04201372953386705</v>
      </c>
      <c r="D13" s="154">
        <f t="shared" si="5"/>
        <v>0.03681207880251928</v>
      </c>
      <c r="E13" s="154">
        <f t="shared" si="5"/>
        <v>0.02536501627207018</v>
      </c>
      <c r="F13" s="154">
        <f t="shared" si="5"/>
        <v>-0.016558201436953548</v>
      </c>
      <c r="G13" s="154">
        <f t="shared" si="5"/>
        <v>0.047230354395831106</v>
      </c>
      <c r="H13" s="154">
        <f t="shared" si="5"/>
        <v>0.004146049133450844</v>
      </c>
      <c r="I13" s="154">
        <f t="shared" si="5"/>
        <v>0.055474845828397415</v>
      </c>
      <c r="J13" s="154">
        <f t="shared" si="5"/>
        <v>0.056007442215490304</v>
      </c>
      <c r="K13" s="200">
        <f t="shared" si="5"/>
        <v>0.04668405954236408</v>
      </c>
      <c r="L13" s="155">
        <f>(L12-K12)/K12</f>
        <v>0.018579131296592322</v>
      </c>
      <c r="M13" s="155">
        <f>(M12-L12)/L12</f>
        <v>0.03892608103508753</v>
      </c>
      <c r="N13" s="155">
        <f t="shared" si="5"/>
        <v>0.038068353918296084</v>
      </c>
      <c r="O13" s="155">
        <f t="shared" si="5"/>
        <v>0.038541949557210194</v>
      </c>
      <c r="P13" s="155">
        <f t="shared" si="5"/>
        <v>0.03870245635181814</v>
      </c>
      <c r="Q13" s="155">
        <f t="shared" si="5"/>
        <v>0.03871586937808379</v>
      </c>
      <c r="R13" s="155">
        <f t="shared" si="5"/>
        <v>0.03883096058914694</v>
      </c>
      <c r="S13" s="155">
        <f>(S12-R12)/R12</f>
        <v>0.03889940799338671</v>
      </c>
      <c r="T13" s="155">
        <f>(T12-S12)/S12</f>
        <v>0.03905402654919228</v>
      </c>
      <c r="U13" s="155">
        <f aca="true" t="shared" si="6" ref="U13:Y13">(U12-T12)/T12</f>
        <v>0.03945394654598455</v>
      </c>
      <c r="V13" s="155">
        <f t="shared" si="6"/>
        <v>0.039998155247915924</v>
      </c>
      <c r="W13" s="155">
        <f t="shared" si="6"/>
        <v>0.04042495988792553</v>
      </c>
      <c r="X13" s="155">
        <f t="shared" si="6"/>
        <v>0.040931934666408654</v>
      </c>
      <c r="Y13" s="922">
        <f t="shared" si="6"/>
        <v>0.04138540148090027</v>
      </c>
      <c r="Z13" s="1096"/>
    </row>
    <row r="14" spans="1:25" s="133" customFormat="1" ht="15">
      <c r="A14" s="325"/>
      <c r="B14" s="323"/>
      <c r="C14" s="156"/>
      <c r="D14" s="156"/>
      <c r="E14" s="156"/>
      <c r="F14" s="156"/>
      <c r="G14" s="156"/>
      <c r="H14" s="156"/>
      <c r="I14" s="716"/>
      <c r="J14" s="156"/>
      <c r="K14" s="769"/>
      <c r="L14" s="770"/>
      <c r="M14" s="156"/>
      <c r="N14" s="156"/>
      <c r="O14" s="156"/>
      <c r="P14" s="156"/>
      <c r="Q14" s="156"/>
      <c r="R14" s="156"/>
      <c r="S14" s="156"/>
      <c r="T14" s="156"/>
      <c r="U14" s="156"/>
      <c r="V14" s="156"/>
      <c r="W14" s="156"/>
      <c r="X14" s="156"/>
      <c r="Y14" s="923"/>
    </row>
    <row r="15" spans="1:26" ht="15" customHeight="1">
      <c r="A15" s="326" t="s">
        <v>89</v>
      </c>
      <c r="B15" s="159">
        <v>32313</v>
      </c>
      <c r="C15" s="159">
        <v>32636</v>
      </c>
      <c r="D15" s="159">
        <v>33560</v>
      </c>
      <c r="E15" s="159">
        <v>34089</v>
      </c>
      <c r="F15" s="159">
        <v>35061</v>
      </c>
      <c r="G15" s="159">
        <v>36035</v>
      </c>
      <c r="H15" s="159">
        <v>37192</v>
      </c>
      <c r="I15" s="159">
        <v>37600</v>
      </c>
      <c r="J15" s="159">
        <v>38118</v>
      </c>
      <c r="K15" s="190">
        <v>38651</v>
      </c>
      <c r="L15" s="509">
        <f>EAP!L29-L18</f>
        <v>40571.783</v>
      </c>
      <c r="M15" s="509">
        <f>EAP!M29-M18</f>
        <v>41510.117999999995</v>
      </c>
      <c r="N15" s="509">
        <f>EAP!N29-N18</f>
        <v>42388.3801</v>
      </c>
      <c r="O15" s="509">
        <f>EAP!O29-O18</f>
        <v>43264.176</v>
      </c>
      <c r="P15" s="509">
        <f>EAP!P29-P18</f>
        <v>44152.4859</v>
      </c>
      <c r="Q15" s="509">
        <f>EAP!Q29-Q18</f>
        <v>45057.3088</v>
      </c>
      <c r="R15" s="509">
        <f>EAP!R29-R18</f>
        <v>45975.475452631574</v>
      </c>
      <c r="S15" s="509">
        <f>EAP!S29-S18</f>
        <v>46909.26147885503</v>
      </c>
      <c r="T15" s="509">
        <f>EAP!T29-T18</f>
        <v>47854.89098456637</v>
      </c>
      <c r="U15" s="509">
        <f>EAP!U29-U18</f>
        <v>48800.800278068185</v>
      </c>
      <c r="V15" s="509">
        <f>EAP!V29-V18</f>
        <v>49739.365434183004</v>
      </c>
      <c r="W15" s="509">
        <f>EAP!W29-W18</f>
        <v>50675.18503776898</v>
      </c>
      <c r="X15" s="509">
        <f>EAP!X29-X18</f>
        <v>51603.4664238153</v>
      </c>
      <c r="Y15" s="924">
        <f>EAP!Y29-Y18</f>
        <v>52525.870183563784</v>
      </c>
      <c r="Z15" s="1096" t="s">
        <v>298</v>
      </c>
    </row>
    <row r="16" spans="1:26" s="583" customFormat="1" ht="15">
      <c r="A16" s="327" t="s">
        <v>111</v>
      </c>
      <c r="B16" s="588">
        <v>19910</v>
      </c>
      <c r="C16" s="588">
        <v>20013</v>
      </c>
      <c r="D16" s="588">
        <v>20542</v>
      </c>
      <c r="E16" s="588">
        <v>20959</v>
      </c>
      <c r="F16" s="588">
        <v>21404</v>
      </c>
      <c r="G16" s="588">
        <v>21921</v>
      </c>
      <c r="H16" s="588">
        <v>22573</v>
      </c>
      <c r="I16" s="588">
        <v>22849</v>
      </c>
      <c r="J16" s="588">
        <v>23150</v>
      </c>
      <c r="K16" s="592">
        <v>23365</v>
      </c>
      <c r="L16" s="589"/>
      <c r="M16" s="589"/>
      <c r="N16" s="589"/>
      <c r="O16" s="589"/>
      <c r="P16" s="589"/>
      <c r="Q16" s="589"/>
      <c r="R16" s="589"/>
      <c r="S16" s="589"/>
      <c r="T16" s="589"/>
      <c r="U16" s="589"/>
      <c r="V16" s="589"/>
      <c r="W16" s="589"/>
      <c r="X16" s="589"/>
      <c r="Y16" s="817"/>
      <c r="Z16" s="1096"/>
    </row>
    <row r="17" spans="1:26" s="583" customFormat="1" ht="15">
      <c r="A17" s="327" t="s">
        <v>112</v>
      </c>
      <c r="B17" s="588">
        <f>B15-B16</f>
        <v>12403</v>
      </c>
      <c r="C17" s="588">
        <f aca="true" t="shared" si="7" ref="C17:I17">C15-C16</f>
        <v>12623</v>
      </c>
      <c r="D17" s="588">
        <f t="shared" si="7"/>
        <v>13018</v>
      </c>
      <c r="E17" s="588">
        <f t="shared" si="7"/>
        <v>13130</v>
      </c>
      <c r="F17" s="588">
        <f t="shared" si="7"/>
        <v>13657</v>
      </c>
      <c r="G17" s="588">
        <f t="shared" si="7"/>
        <v>14114</v>
      </c>
      <c r="H17" s="588">
        <f t="shared" si="7"/>
        <v>14619</v>
      </c>
      <c r="I17" s="588">
        <f t="shared" si="7"/>
        <v>14751</v>
      </c>
      <c r="J17" s="588">
        <v>14968</v>
      </c>
      <c r="K17" s="592">
        <v>15286</v>
      </c>
      <c r="L17" s="589"/>
      <c r="M17" s="589"/>
      <c r="N17" s="589"/>
      <c r="O17" s="589"/>
      <c r="P17" s="589"/>
      <c r="Q17" s="589"/>
      <c r="R17" s="589"/>
      <c r="S17" s="589"/>
      <c r="T17" s="589"/>
      <c r="U17" s="589"/>
      <c r="V17" s="589"/>
      <c r="W17" s="589"/>
      <c r="X17" s="589"/>
      <c r="Y17" s="817"/>
      <c r="Z17" s="1096"/>
    </row>
    <row r="18" spans="1:26" ht="15">
      <c r="A18" s="326" t="s">
        <v>102</v>
      </c>
      <c r="B18" s="159">
        <v>2747.667</v>
      </c>
      <c r="C18" s="159">
        <f>EAP!C29-ECO!C15</f>
        <v>2828</v>
      </c>
      <c r="D18" s="159">
        <f>EAP!D29-ECO!D15</f>
        <v>2654.5</v>
      </c>
      <c r="E18" s="159">
        <f>EAP!E29-ECO!E15</f>
        <v>2715</v>
      </c>
      <c r="F18" s="159">
        <f>EAP!F29-ECO!F15</f>
        <v>2831</v>
      </c>
      <c r="G18" s="159">
        <f>EAP!G29-ECO!G15</f>
        <v>2859</v>
      </c>
      <c r="H18" s="159">
        <f>EAP!H29-ECO!H15</f>
        <v>2814</v>
      </c>
      <c r="I18" s="159">
        <f>EAP!I29-ECO!I15</f>
        <v>2828</v>
      </c>
      <c r="J18" s="159">
        <v>2905</v>
      </c>
      <c r="K18" s="190">
        <v>2728</v>
      </c>
      <c r="L18" s="160">
        <f>L21*EAP!L29</f>
        <v>2681.717</v>
      </c>
      <c r="M18" s="160">
        <f>M21*EAP!M29</f>
        <v>2649.582</v>
      </c>
      <c r="N18" s="160">
        <f>N21*EAP!N29</f>
        <v>2657.7198999999996</v>
      </c>
      <c r="O18" s="160">
        <f>O21*EAP!O29</f>
        <v>2663.824</v>
      </c>
      <c r="P18" s="160">
        <f>P21*EAP!P29</f>
        <v>2668.8141</v>
      </c>
      <c r="Q18" s="160">
        <f>Q21*EAP!Q29</f>
        <v>2672.8912</v>
      </c>
      <c r="R18" s="160">
        <f>R21*EAP!R29</f>
        <v>2676.7245473684206</v>
      </c>
      <c r="S18" s="160">
        <f>S21*EAP!S29</f>
        <v>2680.438521144967</v>
      </c>
      <c r="T18" s="160">
        <f>T21*EAP!T29</f>
        <v>2683.809015433628</v>
      </c>
      <c r="U18" s="160">
        <f>U21*EAP!U29</f>
        <v>2686.1997219318177</v>
      </c>
      <c r="V18" s="160">
        <f>V21*EAP!V29</f>
        <v>2687.234565816994</v>
      </c>
      <c r="W18" s="160">
        <f>W21*EAP!W29</f>
        <v>2687.214962231023</v>
      </c>
      <c r="X18" s="160">
        <f>X21*EAP!X29</f>
        <v>2685.9335761847015</v>
      </c>
      <c r="Y18" s="925">
        <f>Y21*EAP!Y29</f>
        <v>2683.5298164362193</v>
      </c>
      <c r="Z18" s="1096"/>
    </row>
    <row r="19" spans="1:26" s="583" customFormat="1" ht="15">
      <c r="A19" s="582" t="s">
        <v>260</v>
      </c>
      <c r="B19" s="588">
        <v>1685</v>
      </c>
      <c r="C19" s="588">
        <v>1798</v>
      </c>
      <c r="D19" s="588">
        <v>1675</v>
      </c>
      <c r="E19" s="588">
        <v>1714</v>
      </c>
      <c r="F19" s="588">
        <v>1770</v>
      </c>
      <c r="G19" s="588">
        <v>1808</v>
      </c>
      <c r="H19" s="588">
        <v>1772</v>
      </c>
      <c r="I19" s="588">
        <v>1767</v>
      </c>
      <c r="J19" s="593">
        <v>1818</v>
      </c>
      <c r="K19" s="594">
        <v>1728</v>
      </c>
      <c r="L19" s="589"/>
      <c r="M19" s="589"/>
      <c r="N19" s="589"/>
      <c r="O19" s="589"/>
      <c r="P19" s="589"/>
      <c r="Q19" s="589"/>
      <c r="R19" s="589"/>
      <c r="S19" s="589"/>
      <c r="T19" s="589"/>
      <c r="U19" s="589"/>
      <c r="V19" s="589"/>
      <c r="W19" s="589"/>
      <c r="X19" s="589"/>
      <c r="Y19" s="590"/>
      <c r="Z19" s="1096"/>
    </row>
    <row r="20" spans="1:26" s="583" customFormat="1" ht="15">
      <c r="A20" s="582" t="s">
        <v>261</v>
      </c>
      <c r="B20" s="588">
        <f>B18-B19</f>
        <v>1062.667</v>
      </c>
      <c r="C20" s="588">
        <f aca="true" t="shared" si="8" ref="C20:I20">C18-C19</f>
        <v>1030</v>
      </c>
      <c r="D20" s="588">
        <f t="shared" si="8"/>
        <v>979.5</v>
      </c>
      <c r="E20" s="588">
        <f t="shared" si="8"/>
        <v>1001</v>
      </c>
      <c r="F20" s="588">
        <f t="shared" si="8"/>
        <v>1061</v>
      </c>
      <c r="G20" s="588">
        <f t="shared" si="8"/>
        <v>1051</v>
      </c>
      <c r="H20" s="588">
        <f t="shared" si="8"/>
        <v>1042</v>
      </c>
      <c r="I20" s="588">
        <f t="shared" si="8"/>
        <v>1061</v>
      </c>
      <c r="J20" s="593">
        <v>1087</v>
      </c>
      <c r="K20" s="594">
        <v>1000</v>
      </c>
      <c r="L20" s="589"/>
      <c r="M20" s="589"/>
      <c r="N20" s="589"/>
      <c r="O20" s="589"/>
      <c r="P20" s="589"/>
      <c r="Q20" s="589"/>
      <c r="R20" s="589"/>
      <c r="S20" s="589"/>
      <c r="T20" s="589"/>
      <c r="U20" s="589"/>
      <c r="V20" s="589"/>
      <c r="W20" s="589"/>
      <c r="X20" s="589"/>
      <c r="Y20" s="590"/>
      <c r="Z20" s="1096"/>
    </row>
    <row r="21" spans="1:26" ht="12.75" customHeight="1">
      <c r="A21" s="326" t="s">
        <v>90</v>
      </c>
      <c r="B21" s="154">
        <f>B18/EAP!B29</f>
        <v>0.07786626067520043</v>
      </c>
      <c r="C21" s="154">
        <f>C18/EAP!C29</f>
        <v>0.07974283780735393</v>
      </c>
      <c r="D21" s="154">
        <f>D18/EAP!D29</f>
        <v>0.07329936903726408</v>
      </c>
      <c r="E21" s="154">
        <f>E18/EAP!E29</f>
        <v>0.0737691555265732</v>
      </c>
      <c r="F21" s="154">
        <f>F18/EAP!F29</f>
        <v>0.07471234033569091</v>
      </c>
      <c r="G21" s="154">
        <f>G18/EAP!G29</f>
        <v>0.07350748187381087</v>
      </c>
      <c r="H21" s="154">
        <f>H18/EAP!H29</f>
        <v>0.0703394490826376</v>
      </c>
      <c r="I21" s="154">
        <f>I18/EAP!I29</f>
        <v>0.06995151874938162</v>
      </c>
      <c r="J21" s="163">
        <f>(J18/EAP!J29)</f>
        <v>0.07081738621681578</v>
      </c>
      <c r="K21" s="360">
        <f>(K18/EAP!K29)</f>
        <v>0.06592716112037507</v>
      </c>
      <c r="L21" s="510">
        <v>0.062</v>
      </c>
      <c r="M21" s="510">
        <v>0.06</v>
      </c>
      <c r="N21" s="510">
        <v>0.059</v>
      </c>
      <c r="O21" s="510">
        <v>0.058</v>
      </c>
      <c r="P21" s="510">
        <v>0.057</v>
      </c>
      <c r="Q21" s="510">
        <v>0.056</v>
      </c>
      <c r="R21" s="511">
        <f>Q21*(1+R36)</f>
        <v>0.05501754385964912</v>
      </c>
      <c r="S21" s="511">
        <f>R21*(1+S36)</f>
        <v>0.054052323791935974</v>
      </c>
      <c r="T21" s="511">
        <f aca="true" t="shared" si="9" ref="T21:X21">S21*(1+T36)</f>
        <v>0.0531040374096213</v>
      </c>
      <c r="U21" s="511">
        <f t="shared" si="9"/>
        <v>0.052172387630505135</v>
      </c>
      <c r="V21" s="511">
        <f t="shared" si="9"/>
        <v>0.05125708258435592</v>
      </c>
      <c r="W21" s="511">
        <f t="shared" si="9"/>
        <v>0.05035783552147248</v>
      </c>
      <c r="X21" s="511">
        <f t="shared" si="9"/>
        <v>0.049474364722850155</v>
      </c>
      <c r="Y21" s="511">
        <f>X21*(1+Y36)</f>
        <v>0.04860639341192296</v>
      </c>
      <c r="Z21" s="1086" t="s">
        <v>477</v>
      </c>
    </row>
    <row r="22" spans="1:26" s="583" customFormat="1" ht="15">
      <c r="A22" s="582" t="s">
        <v>196</v>
      </c>
      <c r="B22" s="166"/>
      <c r="C22" s="166"/>
      <c r="D22" s="166"/>
      <c r="E22" s="166"/>
      <c r="F22" s="166">
        <v>0.1725</v>
      </c>
      <c r="G22" s="166">
        <v>0.172</v>
      </c>
      <c r="H22" s="166">
        <v>0.1595</v>
      </c>
      <c r="I22" s="166">
        <v>0.158</v>
      </c>
      <c r="J22" s="167">
        <v>0.161</v>
      </c>
      <c r="K22" s="472">
        <v>0.153</v>
      </c>
      <c r="L22" s="168"/>
      <c r="M22" s="168"/>
      <c r="N22" s="168"/>
      <c r="O22" s="168"/>
      <c r="P22" s="168"/>
      <c r="Q22" s="168"/>
      <c r="R22" s="168"/>
      <c r="S22" s="168"/>
      <c r="T22" s="168"/>
      <c r="U22" s="168"/>
      <c r="V22" s="168"/>
      <c r="W22" s="168"/>
      <c r="X22" s="168"/>
      <c r="Y22" s="169"/>
      <c r="Z22" s="1086"/>
    </row>
    <row r="23" spans="1:26" s="583" customFormat="1" ht="15">
      <c r="A23" s="582" t="s">
        <v>197</v>
      </c>
      <c r="B23" s="166"/>
      <c r="C23" s="166"/>
      <c r="D23" s="166"/>
      <c r="E23" s="166"/>
      <c r="F23" s="166">
        <v>0.0476666666666667</v>
      </c>
      <c r="G23" s="166">
        <v>0.0466666666666667</v>
      </c>
      <c r="H23" s="166">
        <v>0.0456666666666667</v>
      </c>
      <c r="I23" s="166">
        <v>0.0453333333333333</v>
      </c>
      <c r="J23" s="167">
        <v>0.0470291251289211</v>
      </c>
      <c r="K23" s="472">
        <v>0.0469094922737307</v>
      </c>
      <c r="L23" s="168"/>
      <c r="M23" s="168"/>
      <c r="N23" s="168"/>
      <c r="O23" s="168"/>
      <c r="P23" s="168"/>
      <c r="Q23" s="168"/>
      <c r="R23" s="168"/>
      <c r="S23" s="168"/>
      <c r="T23" s="168"/>
      <c r="U23" s="168"/>
      <c r="V23" s="168"/>
      <c r="W23" s="168"/>
      <c r="X23" s="168"/>
      <c r="Y23" s="169"/>
      <c r="Z23" s="1086"/>
    </row>
    <row r="24" spans="1:26" s="583" customFormat="1" ht="15">
      <c r="A24" s="582" t="s">
        <v>101</v>
      </c>
      <c r="B24" s="166"/>
      <c r="C24" s="166"/>
      <c r="D24" s="166"/>
      <c r="E24" s="166"/>
      <c r="F24" s="166">
        <v>0.027</v>
      </c>
      <c r="G24" s="166">
        <v>0.024</v>
      </c>
      <c r="H24" s="166">
        <v>0.024</v>
      </c>
      <c r="I24" s="166">
        <v>0.026</v>
      </c>
      <c r="J24" s="167">
        <v>0.0265957446808511</v>
      </c>
      <c r="K24" s="472">
        <v>0.022146058528869</v>
      </c>
      <c r="L24" s="168"/>
      <c r="M24" s="168"/>
      <c r="N24" s="168"/>
      <c r="O24" s="168"/>
      <c r="P24" s="168"/>
      <c r="Q24" s="168"/>
      <c r="R24" s="168"/>
      <c r="S24" s="168"/>
      <c r="T24" s="168"/>
      <c r="U24" s="168"/>
      <c r="V24" s="168"/>
      <c r="W24" s="168"/>
      <c r="X24" s="168"/>
      <c r="Y24" s="169"/>
      <c r="Z24" s="1086"/>
    </row>
    <row r="25" spans="1:26" s="583" customFormat="1" ht="15">
      <c r="A25" s="582" t="s">
        <v>75</v>
      </c>
      <c r="B25" s="166"/>
      <c r="C25" s="166"/>
      <c r="D25" s="166"/>
      <c r="E25" s="166"/>
      <c r="F25" s="584">
        <v>0.013</v>
      </c>
      <c r="G25" s="584">
        <v>0.012</v>
      </c>
      <c r="H25" s="584">
        <v>0.012</v>
      </c>
      <c r="I25" s="584">
        <v>0.014</v>
      </c>
      <c r="J25" s="585">
        <v>0.012987012987013</v>
      </c>
      <c r="K25" s="586">
        <v>0.0116429495472186</v>
      </c>
      <c r="L25" s="168"/>
      <c r="M25" s="168"/>
      <c r="N25" s="168"/>
      <c r="O25" s="168"/>
      <c r="P25" s="168"/>
      <c r="Q25" s="168"/>
      <c r="R25" s="168"/>
      <c r="S25" s="168"/>
      <c r="T25" s="168"/>
      <c r="U25" s="168"/>
      <c r="V25" s="168"/>
      <c r="W25" s="168"/>
      <c r="X25" s="168"/>
      <c r="Y25" s="169"/>
      <c r="Z25" s="1086"/>
    </row>
    <row r="26" spans="1:26" ht="15">
      <c r="A26" s="365" t="s">
        <v>260</v>
      </c>
      <c r="B26" s="154">
        <v>0.078</v>
      </c>
      <c r="C26" s="154">
        <v>0.082</v>
      </c>
      <c r="D26" s="154">
        <v>0.075</v>
      </c>
      <c r="E26" s="154">
        <v>0.076</v>
      </c>
      <c r="F26" s="154">
        <v>0.076</v>
      </c>
      <c r="G26" s="154">
        <v>0.076</v>
      </c>
      <c r="H26" s="154">
        <v>0.073</v>
      </c>
      <c r="I26" s="154">
        <v>0.072</v>
      </c>
      <c r="J26" s="163">
        <v>0.073</v>
      </c>
      <c r="K26" s="360">
        <f>(K19/EAP!K13)</f>
        <v>0.06886382656517753</v>
      </c>
      <c r="L26" s="164"/>
      <c r="M26" s="164"/>
      <c r="N26" s="164"/>
      <c r="O26" s="164"/>
      <c r="P26" s="164"/>
      <c r="Q26" s="164"/>
      <c r="R26" s="164"/>
      <c r="S26" s="164"/>
      <c r="T26" s="164"/>
      <c r="U26" s="164"/>
      <c r="V26" s="164"/>
      <c r="W26" s="164"/>
      <c r="X26" s="164"/>
      <c r="Y26" s="165"/>
      <c r="Z26" s="1086"/>
    </row>
    <row r="27" spans="1:26" s="583" customFormat="1" ht="15">
      <c r="A27" s="582" t="s">
        <v>196</v>
      </c>
      <c r="B27" s="166"/>
      <c r="C27" s="166"/>
      <c r="D27" s="166"/>
      <c r="E27" s="166"/>
      <c r="F27" s="166">
        <v>0.1595</v>
      </c>
      <c r="G27" s="166">
        <v>0.1615</v>
      </c>
      <c r="H27" s="166">
        <v>0.1475</v>
      </c>
      <c r="I27" s="166">
        <v>0.1455</v>
      </c>
      <c r="J27" s="167">
        <v>0.148132515604474</v>
      </c>
      <c r="K27" s="472"/>
      <c r="L27" s="168"/>
      <c r="M27" s="168"/>
      <c r="N27" s="168"/>
      <c r="O27" s="168"/>
      <c r="P27" s="168"/>
      <c r="Q27" s="168"/>
      <c r="R27" s="168"/>
      <c r="S27" s="168"/>
      <c r="T27" s="168"/>
      <c r="U27" s="168"/>
      <c r="V27" s="168"/>
      <c r="W27" s="168"/>
      <c r="X27" s="168"/>
      <c r="Y27" s="169"/>
      <c r="Z27" s="1086"/>
    </row>
    <row r="28" spans="1:26" s="583" customFormat="1" ht="15">
      <c r="A28" s="582" t="s">
        <v>197</v>
      </c>
      <c r="B28" s="166"/>
      <c r="C28" s="166"/>
      <c r="D28" s="166"/>
      <c r="E28" s="166"/>
      <c r="F28" s="166">
        <v>0.0523333333333333</v>
      </c>
      <c r="G28" s="166">
        <v>0.052</v>
      </c>
      <c r="H28" s="166">
        <v>0.0506666666666667</v>
      </c>
      <c r="I28" s="166">
        <v>0.0503333333333333</v>
      </c>
      <c r="J28" s="167">
        <v>0.0510342609538803</v>
      </c>
      <c r="K28" s="472"/>
      <c r="L28" s="168"/>
      <c r="M28" s="168"/>
      <c r="N28" s="168"/>
      <c r="O28" s="168"/>
      <c r="P28" s="168"/>
      <c r="Q28" s="168"/>
      <c r="R28" s="168"/>
      <c r="S28" s="168"/>
      <c r="T28" s="168"/>
      <c r="U28" s="168"/>
      <c r="V28" s="168"/>
      <c r="W28" s="168"/>
      <c r="X28" s="168"/>
      <c r="Y28" s="169"/>
      <c r="Z28" s="1086"/>
    </row>
    <row r="29" spans="1:26" s="583" customFormat="1" ht="15">
      <c r="A29" s="582" t="s">
        <v>101</v>
      </c>
      <c r="B29" s="166"/>
      <c r="C29" s="166"/>
      <c r="D29" s="166"/>
      <c r="E29" s="166"/>
      <c r="F29" s="166">
        <v>0.037</v>
      </c>
      <c r="G29" s="166">
        <v>0.033</v>
      </c>
      <c r="H29" s="166">
        <v>0.031</v>
      </c>
      <c r="I29" s="166">
        <v>0.034</v>
      </c>
      <c r="J29" s="167">
        <v>0.0352014821676702</v>
      </c>
      <c r="K29" s="586"/>
      <c r="L29" s="168"/>
      <c r="M29" s="168"/>
      <c r="N29" s="168"/>
      <c r="O29" s="168"/>
      <c r="P29" s="168"/>
      <c r="Q29" s="168"/>
      <c r="R29" s="168"/>
      <c r="S29" s="168"/>
      <c r="T29" s="168"/>
      <c r="U29" s="168"/>
      <c r="V29" s="168"/>
      <c r="W29" s="168"/>
      <c r="X29" s="168"/>
      <c r="Y29" s="169"/>
      <c r="Z29" s="1086"/>
    </row>
    <row r="30" spans="1:26" s="583" customFormat="1" ht="15">
      <c r="A30" s="582" t="s">
        <v>75</v>
      </c>
      <c r="B30" s="166"/>
      <c r="C30" s="166"/>
      <c r="D30" s="166"/>
      <c r="E30" s="166"/>
      <c r="F30" s="166">
        <v>0.014</v>
      </c>
      <c r="G30" s="166">
        <v>0.015</v>
      </c>
      <c r="H30" s="166">
        <v>0.015</v>
      </c>
      <c r="I30" s="166">
        <v>0.015</v>
      </c>
      <c r="J30" s="167">
        <v>0.0146561443066516</v>
      </c>
      <c r="K30" s="472"/>
      <c r="L30" s="168"/>
      <c r="M30" s="168"/>
      <c r="N30" s="168"/>
      <c r="O30" s="168"/>
      <c r="P30" s="168"/>
      <c r="Q30" s="168"/>
      <c r="R30" s="168"/>
      <c r="S30" s="168"/>
      <c r="T30" s="168"/>
      <c r="U30" s="168"/>
      <c r="V30" s="168"/>
      <c r="W30" s="168"/>
      <c r="X30" s="168"/>
      <c r="Y30" s="169"/>
      <c r="Z30" s="1086"/>
    </row>
    <row r="31" spans="1:26" ht="15">
      <c r="A31" s="365" t="s">
        <v>261</v>
      </c>
      <c r="B31" s="154">
        <v>0.078</v>
      </c>
      <c r="C31" s="154">
        <v>0.076</v>
      </c>
      <c r="D31" s="154">
        <v>0.07</v>
      </c>
      <c r="E31" s="154">
        <v>0.071</v>
      </c>
      <c r="F31" s="154">
        <v>0.072</v>
      </c>
      <c r="G31" s="154">
        <v>0.069</v>
      </c>
      <c r="H31" s="154">
        <v>0.066</v>
      </c>
      <c r="I31" s="154">
        <v>0.067</v>
      </c>
      <c r="J31" s="163">
        <v>0.068</v>
      </c>
      <c r="K31" s="360">
        <f>(K20/EAP!K21)</f>
        <v>0.06140620202640467</v>
      </c>
      <c r="L31" s="164"/>
      <c r="M31" s="164"/>
      <c r="N31" s="164"/>
      <c r="O31" s="164"/>
      <c r="P31" s="164"/>
      <c r="Q31" s="164"/>
      <c r="R31" s="164"/>
      <c r="S31" s="164"/>
      <c r="T31" s="164"/>
      <c r="U31" s="164"/>
      <c r="V31" s="164"/>
      <c r="W31" s="164"/>
      <c r="X31" s="164"/>
      <c r="Y31" s="165"/>
      <c r="Z31" s="1086"/>
    </row>
    <row r="32" spans="1:26" s="583" customFormat="1" ht="15">
      <c r="A32" s="582" t="s">
        <v>196</v>
      </c>
      <c r="B32" s="166">
        <v>0.172</v>
      </c>
      <c r="C32" s="166">
        <v>0.178</v>
      </c>
      <c r="D32" s="166">
        <v>0.168</v>
      </c>
      <c r="E32" s="166">
        <v>0.174</v>
      </c>
      <c r="F32" s="166">
        <v>0.194</v>
      </c>
      <c r="G32" s="166">
        <v>0.19</v>
      </c>
      <c r="H32" s="166">
        <v>0.178</v>
      </c>
      <c r="I32" s="166">
        <v>0.1785</v>
      </c>
      <c r="J32" s="167">
        <v>0.174229452054795</v>
      </c>
      <c r="K32" s="472"/>
      <c r="L32" s="168"/>
      <c r="M32" s="168"/>
      <c r="N32" s="168"/>
      <c r="O32" s="168"/>
      <c r="P32" s="168"/>
      <c r="Q32" s="168"/>
      <c r="R32" s="168"/>
      <c r="S32" s="168"/>
      <c r="T32" s="168"/>
      <c r="U32" s="168"/>
      <c r="V32" s="168"/>
      <c r="W32" s="168"/>
      <c r="X32" s="168"/>
      <c r="Y32" s="169"/>
      <c r="Z32" s="1086"/>
    </row>
    <row r="33" spans="1:26" s="583" customFormat="1" ht="15">
      <c r="A33" s="582" t="s">
        <v>197</v>
      </c>
      <c r="B33" s="166">
        <v>0.056</v>
      </c>
      <c r="C33" s="166">
        <v>0.057</v>
      </c>
      <c r="D33" s="166">
        <v>0.051</v>
      </c>
      <c r="E33" s="166">
        <v>0.051</v>
      </c>
      <c r="F33" s="166">
        <v>0.0406666666666667</v>
      </c>
      <c r="G33" s="166">
        <v>0.0383333333333333</v>
      </c>
      <c r="H33" s="166">
        <v>0.0373333333333333</v>
      </c>
      <c r="I33" s="166">
        <v>0.0386666666666667</v>
      </c>
      <c r="J33" s="167">
        <v>0.0412331644147322</v>
      </c>
      <c r="K33" s="472"/>
      <c r="L33" s="168"/>
      <c r="M33" s="168"/>
      <c r="N33" s="168"/>
      <c r="O33" s="168"/>
      <c r="P33" s="168"/>
      <c r="Q33" s="168"/>
      <c r="R33" s="168"/>
      <c r="S33" s="168"/>
      <c r="T33" s="168"/>
      <c r="U33" s="168"/>
      <c r="V33" s="168"/>
      <c r="W33" s="168"/>
      <c r="X33" s="168"/>
      <c r="Y33" s="169"/>
      <c r="Z33" s="1086"/>
    </row>
    <row r="34" spans="1:26" s="583" customFormat="1" ht="15">
      <c r="A34" s="582" t="s">
        <v>230</v>
      </c>
      <c r="B34" s="166">
        <v>0.023</v>
      </c>
      <c r="C34" s="166">
        <v>0.023</v>
      </c>
      <c r="D34" s="166">
        <v>0.023</v>
      </c>
      <c r="E34" s="166">
        <v>0.022</v>
      </c>
      <c r="F34" s="166">
        <v>0.013</v>
      </c>
      <c r="G34" s="166">
        <v>0.012</v>
      </c>
      <c r="H34" s="166">
        <v>0.014</v>
      </c>
      <c r="I34" s="166">
        <v>0.015</v>
      </c>
      <c r="J34" s="167">
        <v>0.014366021236727</v>
      </c>
      <c r="K34" s="586"/>
      <c r="L34" s="168"/>
      <c r="M34" s="168"/>
      <c r="N34" s="168"/>
      <c r="O34" s="168"/>
      <c r="P34" s="168"/>
      <c r="Q34" s="168"/>
      <c r="R34" s="168"/>
      <c r="S34" s="168"/>
      <c r="T34" s="168"/>
      <c r="U34" s="168"/>
      <c r="V34" s="168"/>
      <c r="W34" s="168"/>
      <c r="X34" s="168"/>
      <c r="Y34" s="169"/>
      <c r="Z34" s="1086"/>
    </row>
    <row r="35" spans="1:26" s="583" customFormat="1" ht="15">
      <c r="A35" s="582" t="s">
        <v>75</v>
      </c>
      <c r="B35" s="166"/>
      <c r="C35" s="166"/>
      <c r="D35" s="166"/>
      <c r="E35" s="166"/>
      <c r="F35" s="166">
        <v>0.011</v>
      </c>
      <c r="G35" s="166">
        <v>0.009</v>
      </c>
      <c r="H35" s="166">
        <v>0.009</v>
      </c>
      <c r="I35" s="166">
        <v>0.012</v>
      </c>
      <c r="J35" s="167">
        <v>0.0107197549770291</v>
      </c>
      <c r="K35" s="472"/>
      <c r="L35" s="168"/>
      <c r="M35" s="168"/>
      <c r="N35" s="168"/>
      <c r="O35" s="168"/>
      <c r="P35" s="168"/>
      <c r="Q35" s="168"/>
      <c r="R35" s="168"/>
      <c r="S35" s="168"/>
      <c r="T35" s="168"/>
      <c r="U35" s="168"/>
      <c r="V35" s="168"/>
      <c r="W35" s="168"/>
      <c r="X35" s="168"/>
      <c r="Y35" s="169"/>
      <c r="Z35" s="1086"/>
    </row>
    <row r="36" spans="1:26" ht="12.75" customHeight="1">
      <c r="A36" s="327" t="s">
        <v>129</v>
      </c>
      <c r="B36" s="166"/>
      <c r="C36" s="166"/>
      <c r="D36" s="166"/>
      <c r="E36" s="166"/>
      <c r="F36" s="166"/>
      <c r="G36" s="166"/>
      <c r="H36" s="166"/>
      <c r="I36" s="166"/>
      <c r="J36" s="167"/>
      <c r="K36" s="472"/>
      <c r="L36" s="168">
        <f>L21/K21-1</f>
        <v>-0.0595681818181818</v>
      </c>
      <c r="M36" s="168">
        <f aca="true" t="shared" si="10" ref="M36:Q36">M21/L21-1</f>
        <v>-0.032258064516129115</v>
      </c>
      <c r="N36" s="168">
        <f t="shared" si="10"/>
        <v>-0.01666666666666672</v>
      </c>
      <c r="O36" s="168">
        <f>O21/N21-1</f>
        <v>-0.016949152542372725</v>
      </c>
      <c r="P36" s="168">
        <f t="shared" si="10"/>
        <v>-0.017241379310344862</v>
      </c>
      <c r="Q36" s="168">
        <f t="shared" si="10"/>
        <v>-0.01754385964912286</v>
      </c>
      <c r="R36" s="168">
        <f>Q36</f>
        <v>-0.01754385964912286</v>
      </c>
      <c r="S36" s="168">
        <f>R36</f>
        <v>-0.01754385964912286</v>
      </c>
      <c r="T36" s="168">
        <f aca="true" t="shared" si="11" ref="T36:X36">S36</f>
        <v>-0.01754385964912286</v>
      </c>
      <c r="U36" s="168">
        <f t="shared" si="11"/>
        <v>-0.01754385964912286</v>
      </c>
      <c r="V36" s="168">
        <f t="shared" si="11"/>
        <v>-0.01754385964912286</v>
      </c>
      <c r="W36" s="168">
        <f t="shared" si="11"/>
        <v>-0.01754385964912286</v>
      </c>
      <c r="X36" s="168">
        <f t="shared" si="11"/>
        <v>-0.01754385964912286</v>
      </c>
      <c r="Y36" s="168">
        <f>X36</f>
        <v>-0.01754385964912286</v>
      </c>
      <c r="Z36" s="1086"/>
    </row>
    <row r="37" spans="1:26" ht="15">
      <c r="A37" s="326" t="s">
        <v>119</v>
      </c>
      <c r="B37" s="154">
        <v>0.21</v>
      </c>
      <c r="C37" s="154">
        <v>0.226</v>
      </c>
      <c r="D37" s="154">
        <v>0.201</v>
      </c>
      <c r="E37" s="154">
        <v>0.193</v>
      </c>
      <c r="F37" s="154">
        <v>0.191</v>
      </c>
      <c r="G37" s="154">
        <v>0.188</v>
      </c>
      <c r="H37" s="154">
        <v>0.193</v>
      </c>
      <c r="I37" s="154">
        <v>0.2</v>
      </c>
      <c r="J37" s="154">
        <v>0.19</v>
      </c>
      <c r="K37" s="360">
        <v>0.184</v>
      </c>
      <c r="L37" s="511">
        <f>Calculations!L3</f>
        <v>0.1856</v>
      </c>
      <c r="M37" s="164">
        <f>Calculations!M3</f>
        <v>0.1817</v>
      </c>
      <c r="N37" s="164">
        <f>Calculations!N3</f>
        <v>0.17779999999999999</v>
      </c>
      <c r="O37" s="164">
        <f>Calculations!O3</f>
        <v>0.1739</v>
      </c>
      <c r="P37" s="164">
        <f>Calculations!P3</f>
        <v>0.16999999999999998</v>
      </c>
      <c r="Q37" s="164">
        <f>Calculations!Q3</f>
        <v>0.1661</v>
      </c>
      <c r="R37" s="164">
        <f>Calculations!R3</f>
        <v>0.1622</v>
      </c>
      <c r="S37" s="164">
        <f>Calculations!S3</f>
        <v>0.1583</v>
      </c>
      <c r="T37" s="164">
        <f>Calculations!T3</f>
        <v>0.15439999999999998</v>
      </c>
      <c r="U37" s="164">
        <f>Calculations!U3</f>
        <v>0.1505</v>
      </c>
      <c r="V37" s="164">
        <f>Calculations!V3</f>
        <v>0.1466</v>
      </c>
      <c r="W37" s="164">
        <f>Calculations!W3</f>
        <v>0.1427</v>
      </c>
      <c r="X37" s="164">
        <f>Calculations!X3</f>
        <v>0.13879999999999998</v>
      </c>
      <c r="Y37" s="164">
        <f>Calculations!Y3</f>
        <v>0.1349</v>
      </c>
      <c r="Z37" s="1086"/>
    </row>
    <row r="38" spans="1:26" ht="15">
      <c r="A38" s="326"/>
      <c r="B38" s="154"/>
      <c r="C38" s="154"/>
      <c r="D38" s="154"/>
      <c r="E38" s="154"/>
      <c r="F38" s="154"/>
      <c r="G38" s="154"/>
      <c r="H38" s="154"/>
      <c r="I38" s="154"/>
      <c r="J38" s="154"/>
      <c r="K38" s="477"/>
      <c r="L38" s="164"/>
      <c r="M38" s="164"/>
      <c r="N38" s="164"/>
      <c r="O38" s="164"/>
      <c r="P38" s="164"/>
      <c r="Q38" s="164"/>
      <c r="R38" s="164"/>
      <c r="S38" s="164"/>
      <c r="T38" s="164"/>
      <c r="U38" s="164"/>
      <c r="V38" s="164"/>
      <c r="W38" s="164"/>
      <c r="X38" s="164"/>
      <c r="Y38" s="165"/>
      <c r="Z38" s="1086"/>
    </row>
    <row r="39" spans="1:26" ht="15" customHeight="1">
      <c r="A39" s="326" t="s">
        <v>387</v>
      </c>
      <c r="B39" s="159">
        <v>3418.603</v>
      </c>
      <c r="C39" s="159">
        <v>3473.496</v>
      </c>
      <c r="D39" s="159">
        <v>3237.943</v>
      </c>
      <c r="E39" s="159">
        <v>3268.58</v>
      </c>
      <c r="F39" s="159">
        <v>3295.371</v>
      </c>
      <c r="G39" s="159">
        <v>3382.071</v>
      </c>
      <c r="H39" s="159">
        <v>3511.944</v>
      </c>
      <c r="I39" s="159">
        <v>3799.59</v>
      </c>
      <c r="J39" s="503">
        <v>3716.147</v>
      </c>
      <c r="K39" s="478">
        <f>K40*EAP!K29</f>
        <v>3748.3959416181165</v>
      </c>
      <c r="L39" s="509">
        <f>L40*EAP!L29</f>
        <v>3797.6572999999994</v>
      </c>
      <c r="M39" s="509">
        <f>M40*EAP!M29</f>
        <v>3846.3098699999996</v>
      </c>
      <c r="N39" s="509">
        <f>N40*EAP!N29</f>
        <v>3891.9830399999996</v>
      </c>
      <c r="O39" s="509">
        <f>O40*EAP!O29</f>
        <v>3936.0296</v>
      </c>
      <c r="P39" s="509">
        <f>P40*EAP!P29</f>
        <v>3979.8105</v>
      </c>
      <c r="Q39" s="509">
        <f>Q40*EAP!Q29</f>
        <v>4023.65586</v>
      </c>
      <c r="R39" s="509">
        <f>R40*EAP!R29</f>
        <v>4067.3239199999994</v>
      </c>
      <c r="S39" s="509">
        <f>S40*EAP!S29</f>
        <v>4110.98613</v>
      </c>
      <c r="T39" s="509">
        <f>T40*EAP!T29</f>
        <v>4154.281139999999</v>
      </c>
      <c r="U39" s="509">
        <f>U40*EAP!U29</f>
        <v>4196.1905</v>
      </c>
      <c r="V39" s="509">
        <f>V40*EAP!V29</f>
        <v>4236.06928</v>
      </c>
      <c r="W39" s="509">
        <f>W40*EAP!W29</f>
        <v>4274.32824</v>
      </c>
      <c r="X39" s="509">
        <f>X40*EAP!X29</f>
        <v>4310.57836</v>
      </c>
      <c r="Y39" s="509">
        <f>Y40*EAP!Y29</f>
        <v>4344.97978</v>
      </c>
      <c r="Z39" s="1086" t="s">
        <v>438</v>
      </c>
    </row>
    <row r="40" spans="1:26" ht="12.75" customHeight="1">
      <c r="A40" s="582" t="s">
        <v>466</v>
      </c>
      <c r="B40" s="216">
        <f aca="true" t="shared" si="12" ref="B40:J40">B39/(B15+B18)</f>
        <v>0.0975053612071898</v>
      </c>
      <c r="C40" s="216">
        <f t="shared" si="12"/>
        <v>0.0979442815249267</v>
      </c>
      <c r="D40" s="216">
        <f t="shared" si="12"/>
        <v>0.08941012577834846</v>
      </c>
      <c r="E40" s="216">
        <f t="shared" si="12"/>
        <v>0.0888104553852842</v>
      </c>
      <c r="F40" s="216">
        <f t="shared" si="12"/>
        <v>0.08696746014989971</v>
      </c>
      <c r="G40" s="216">
        <f t="shared" si="12"/>
        <v>0.08695611148249087</v>
      </c>
      <c r="H40" s="216">
        <f t="shared" si="12"/>
        <v>0.08778543218517222</v>
      </c>
      <c r="I40" s="216">
        <f t="shared" si="12"/>
        <v>0.09398411991688929</v>
      </c>
      <c r="J40" s="216">
        <f t="shared" si="12"/>
        <v>0.09058691465763108</v>
      </c>
      <c r="K40" s="472">
        <f>Calculations!J38</f>
        <v>0.09058691465763108</v>
      </c>
      <c r="L40" s="714">
        <f>Calculations!K38</f>
        <v>0.08779999999999999</v>
      </c>
      <c r="M40" s="714">
        <f>Calculations!L38</f>
        <v>0.0871</v>
      </c>
      <c r="N40" s="714">
        <f>Calculations!M38</f>
        <v>0.08639999999999999</v>
      </c>
      <c r="O40" s="714">
        <f>Calculations!N38</f>
        <v>0.0857</v>
      </c>
      <c r="P40" s="714">
        <f>Calculations!O38</f>
        <v>0.08499999999999999</v>
      </c>
      <c r="Q40" s="714">
        <f>Calculations!P38</f>
        <v>0.0843</v>
      </c>
      <c r="R40" s="714">
        <f>Calculations!Q38</f>
        <v>0.0836</v>
      </c>
      <c r="S40" s="714">
        <f>Calculations!R38</f>
        <v>0.0829</v>
      </c>
      <c r="T40" s="714">
        <f>Calculations!S38</f>
        <v>0.0822</v>
      </c>
      <c r="U40" s="714">
        <f>Calculations!T38</f>
        <v>0.08149999999999999</v>
      </c>
      <c r="V40" s="714">
        <f>Calculations!U38</f>
        <v>0.0808</v>
      </c>
      <c r="W40" s="714">
        <f>Calculations!V38</f>
        <v>0.08009999999999999</v>
      </c>
      <c r="X40" s="714">
        <f>Calculations!W38</f>
        <v>0.0794</v>
      </c>
      <c r="Y40" s="714">
        <f>Calculations!X38</f>
        <v>0.07869999999999999</v>
      </c>
      <c r="Z40" s="1086"/>
    </row>
    <row r="41" spans="1:26" ht="15">
      <c r="A41" s="582"/>
      <c r="B41" s="159"/>
      <c r="C41" s="159"/>
      <c r="D41" s="159"/>
      <c r="E41" s="159"/>
      <c r="F41" s="159"/>
      <c r="G41" s="159"/>
      <c r="H41" s="159"/>
      <c r="I41" s="159"/>
      <c r="J41" s="503"/>
      <c r="K41" s="478"/>
      <c r="L41" s="164"/>
      <c r="M41" s="164"/>
      <c r="N41" s="164"/>
      <c r="O41" s="164"/>
      <c r="P41" s="164"/>
      <c r="Q41" s="164"/>
      <c r="R41" s="164"/>
      <c r="S41" s="164"/>
      <c r="T41" s="164"/>
      <c r="U41" s="164"/>
      <c r="V41" s="164"/>
      <c r="W41" s="164"/>
      <c r="X41" s="164"/>
      <c r="Y41" s="165"/>
      <c r="Z41" s="1086"/>
    </row>
    <row r="42" spans="1:26" ht="12.75" customHeight="1">
      <c r="A42" s="326" t="s">
        <v>467</v>
      </c>
      <c r="B42" s="701">
        <v>0.0441</v>
      </c>
      <c r="C42" s="701">
        <v>0.045</v>
      </c>
      <c r="D42" s="701">
        <v>0.0422</v>
      </c>
      <c r="E42" s="701">
        <v>0.0422</v>
      </c>
      <c r="F42" s="701">
        <f>(0.0364+0.0468+0.0335)/3</f>
        <v>0.0389</v>
      </c>
      <c r="G42" s="701">
        <f>(0.0521+0.0501+0.0358+0.0438)/4</f>
        <v>0.045450000000000004</v>
      </c>
      <c r="H42" s="701">
        <f>(0.0344+0.0398+0.0333+0.0443)/4</f>
        <v>0.037950000000000005</v>
      </c>
      <c r="I42" s="701">
        <f>(0.0326+0.0469)/2</f>
        <v>0.039749999999999994</v>
      </c>
      <c r="J42" s="530">
        <f>(0.0463+0.0294+0.0326+0.0351)/4</f>
        <v>0.03585</v>
      </c>
      <c r="K42" s="814">
        <f>(0.0611+0.0638+0.0704+0.0542)/4</f>
        <v>0.062375</v>
      </c>
      <c r="L42" s="164">
        <v>0.0586</v>
      </c>
      <c r="M42" s="164">
        <f>AVERAGE(B42:L42)</f>
        <v>0.044761363636363634</v>
      </c>
      <c r="N42" s="164">
        <f>M42</f>
        <v>0.044761363636363634</v>
      </c>
      <c r="O42" s="164">
        <f aca="true" t="shared" si="13" ref="O42:Y42">N42</f>
        <v>0.044761363636363634</v>
      </c>
      <c r="P42" s="164">
        <f t="shared" si="13"/>
        <v>0.044761363636363634</v>
      </c>
      <c r="Q42" s="164">
        <f t="shared" si="13"/>
        <v>0.044761363636363634</v>
      </c>
      <c r="R42" s="164">
        <f t="shared" si="13"/>
        <v>0.044761363636363634</v>
      </c>
      <c r="S42" s="164">
        <f t="shared" si="13"/>
        <v>0.044761363636363634</v>
      </c>
      <c r="T42" s="164">
        <f t="shared" si="13"/>
        <v>0.044761363636363634</v>
      </c>
      <c r="U42" s="164">
        <f t="shared" si="13"/>
        <v>0.044761363636363634</v>
      </c>
      <c r="V42" s="164">
        <f t="shared" si="13"/>
        <v>0.044761363636363634</v>
      </c>
      <c r="W42" s="164">
        <f t="shared" si="13"/>
        <v>0.044761363636363634</v>
      </c>
      <c r="X42" s="164">
        <f t="shared" si="13"/>
        <v>0.044761363636363634</v>
      </c>
      <c r="Y42" s="164">
        <f t="shared" si="13"/>
        <v>0.044761363636363634</v>
      </c>
      <c r="Z42" s="1086" t="s">
        <v>597</v>
      </c>
    </row>
    <row r="43" spans="1:26" ht="15">
      <c r="A43" s="582"/>
      <c r="B43" s="159"/>
      <c r="C43" s="159"/>
      <c r="D43" s="159"/>
      <c r="E43" s="159"/>
      <c r="F43" s="159"/>
      <c r="G43" s="159"/>
      <c r="H43" s="701"/>
      <c r="I43" s="159"/>
      <c r="J43" s="503"/>
      <c r="K43" s="812"/>
      <c r="L43" s="164"/>
      <c r="M43" s="164"/>
      <c r="N43" s="164"/>
      <c r="O43" s="164"/>
      <c r="P43" s="164"/>
      <c r="Q43" s="164"/>
      <c r="R43" s="164"/>
      <c r="S43" s="164"/>
      <c r="T43" s="164"/>
      <c r="U43" s="164"/>
      <c r="V43" s="164"/>
      <c r="W43" s="164"/>
      <c r="X43" s="164"/>
      <c r="Y43" s="813"/>
      <c r="Z43" s="1086"/>
    </row>
    <row r="44" spans="1:26" s="583" customFormat="1" ht="12.75" customHeight="1">
      <c r="A44" s="327" t="s">
        <v>170</v>
      </c>
      <c r="B44" s="166">
        <f aca="true" t="shared" si="14" ref="B44:K44">B45/B15</f>
        <v>0.4480240151022808</v>
      </c>
      <c r="C44" s="166">
        <f t="shared" si="14"/>
        <v>0.44545900232871677</v>
      </c>
      <c r="D44" s="166">
        <f t="shared" si="14"/>
        <v>0.4356972586412396</v>
      </c>
      <c r="E44" s="166">
        <f t="shared" si="14"/>
        <v>0.4345976708028983</v>
      </c>
      <c r="F44" s="166">
        <f t="shared" si="14"/>
        <v>0.4261715296198055</v>
      </c>
      <c r="G44" s="166">
        <f t="shared" si="14"/>
        <v>0.4166782294990981</v>
      </c>
      <c r="H44" s="166">
        <f t="shared" si="14"/>
        <v>0.4113787911378791</v>
      </c>
      <c r="I44" s="166">
        <f t="shared" si="14"/>
        <v>0.39289893617021276</v>
      </c>
      <c r="J44" s="166">
        <f t="shared" si="14"/>
        <v>0.382968676215961</v>
      </c>
      <c r="K44" s="717">
        <f t="shared" si="14"/>
        <v>0.38899381646011744</v>
      </c>
      <c r="L44" s="714">
        <f>Calculations!L24</f>
        <v>0.3767</v>
      </c>
      <c r="M44" s="714">
        <f>Calculations!M24</f>
        <v>0.3691</v>
      </c>
      <c r="N44" s="714">
        <f>Calculations!N24</f>
        <v>0.3615</v>
      </c>
      <c r="O44" s="714">
        <f>Calculations!O24</f>
        <v>0.3539</v>
      </c>
      <c r="P44" s="714">
        <f>Calculations!P24</f>
        <v>0.3463</v>
      </c>
      <c r="Q44" s="714">
        <f>Calculations!Q24</f>
        <v>0.3387</v>
      </c>
      <c r="R44" s="714">
        <f>Calculations!R24</f>
        <v>0.33109999999999995</v>
      </c>
      <c r="S44" s="714">
        <f>Calculations!S24</f>
        <v>0.3235</v>
      </c>
      <c r="T44" s="714">
        <f>Calculations!T24</f>
        <v>0.31589999999999996</v>
      </c>
      <c r="U44" s="714">
        <f>Calculations!U24</f>
        <v>0.3083</v>
      </c>
      <c r="V44" s="714">
        <f>Calculations!V24</f>
        <v>0.30069999999999997</v>
      </c>
      <c r="W44" s="714">
        <f>Calculations!W24</f>
        <v>0.2931</v>
      </c>
      <c r="X44" s="714">
        <f>Calculations!X24</f>
        <v>0.2855</v>
      </c>
      <c r="Y44" s="942">
        <f>Calculations!Y24</f>
        <v>0.2779</v>
      </c>
      <c r="Z44" s="1096" t="s">
        <v>469</v>
      </c>
    </row>
    <row r="45" spans="1:26" ht="15">
      <c r="A45" s="326" t="s">
        <v>169</v>
      </c>
      <c r="B45" s="159">
        <v>14477</v>
      </c>
      <c r="C45" s="159">
        <v>14538</v>
      </c>
      <c r="D45" s="159">
        <v>14622</v>
      </c>
      <c r="E45" s="159">
        <v>14815</v>
      </c>
      <c r="F45" s="159">
        <v>14942</v>
      </c>
      <c r="G45" s="159">
        <v>15015</v>
      </c>
      <c r="H45" s="159">
        <v>15300</v>
      </c>
      <c r="I45" s="159">
        <v>14773</v>
      </c>
      <c r="J45" s="503">
        <v>14598</v>
      </c>
      <c r="K45" s="478">
        <v>15035</v>
      </c>
      <c r="L45" s="509">
        <f aca="true" t="shared" si="15" ref="L45:Y45">L44*L15</f>
        <v>15283.3906561</v>
      </c>
      <c r="M45" s="509">
        <f t="shared" si="15"/>
        <v>15321.384553799997</v>
      </c>
      <c r="N45" s="509">
        <f t="shared" si="15"/>
        <v>15323.39940615</v>
      </c>
      <c r="O45" s="509">
        <f t="shared" si="15"/>
        <v>15311.1918864</v>
      </c>
      <c r="P45" s="509">
        <f t="shared" si="15"/>
        <v>15290.005867169999</v>
      </c>
      <c r="Q45" s="509">
        <f t="shared" si="15"/>
        <v>15260.91049056</v>
      </c>
      <c r="R45" s="509">
        <f t="shared" si="15"/>
        <v>15222.479922366312</v>
      </c>
      <c r="S45" s="509">
        <f t="shared" si="15"/>
        <v>15175.146088409601</v>
      </c>
      <c r="T45" s="509">
        <f t="shared" si="15"/>
        <v>15117.360062024516</v>
      </c>
      <c r="U45" s="509">
        <f t="shared" si="15"/>
        <v>15045.286725728423</v>
      </c>
      <c r="V45" s="509">
        <f t="shared" si="15"/>
        <v>14956.627186058828</v>
      </c>
      <c r="W45" s="509">
        <f t="shared" si="15"/>
        <v>14852.89673457009</v>
      </c>
      <c r="X45" s="509">
        <f t="shared" si="15"/>
        <v>14732.789663999267</v>
      </c>
      <c r="Y45" s="924">
        <f t="shared" si="15"/>
        <v>14596.939324012374</v>
      </c>
      <c r="Z45" s="1096"/>
    </row>
    <row r="46" spans="1:26" s="583" customFormat="1" ht="15">
      <c r="A46" s="582" t="s">
        <v>260</v>
      </c>
      <c r="B46" s="587">
        <v>8577</v>
      </c>
      <c r="C46" s="588">
        <v>8584</v>
      </c>
      <c r="D46" s="588">
        <v>8616</v>
      </c>
      <c r="E46" s="588">
        <v>8759</v>
      </c>
      <c r="F46" s="588">
        <v>8719</v>
      </c>
      <c r="G46" s="588">
        <v>8719</v>
      </c>
      <c r="H46" s="588">
        <v>8797</v>
      </c>
      <c r="I46" s="588">
        <v>8410</v>
      </c>
      <c r="J46" s="588">
        <v>8292</v>
      </c>
      <c r="K46" s="592">
        <v>8486</v>
      </c>
      <c r="L46" s="589"/>
      <c r="M46" s="589"/>
      <c r="N46" s="589"/>
      <c r="O46" s="589"/>
      <c r="P46" s="589"/>
      <c r="Q46" s="589"/>
      <c r="R46" s="589"/>
      <c r="S46" s="589"/>
      <c r="T46" s="589"/>
      <c r="U46" s="589"/>
      <c r="V46" s="589"/>
      <c r="W46" s="589"/>
      <c r="X46" s="589"/>
      <c r="Y46" s="817"/>
      <c r="Z46" s="1096"/>
    </row>
    <row r="47" spans="1:26" s="583" customFormat="1" ht="15">
      <c r="A47" s="591" t="s">
        <v>261</v>
      </c>
      <c r="B47" s="587">
        <f>B45-B46</f>
        <v>5900</v>
      </c>
      <c r="C47" s="588">
        <f aca="true" t="shared" si="16" ref="C47:I47">C45-C46</f>
        <v>5954</v>
      </c>
      <c r="D47" s="588">
        <f t="shared" si="16"/>
        <v>6006</v>
      </c>
      <c r="E47" s="588">
        <f t="shared" si="16"/>
        <v>6056</v>
      </c>
      <c r="F47" s="588">
        <f t="shared" si="16"/>
        <v>6223</v>
      </c>
      <c r="G47" s="588">
        <f t="shared" si="16"/>
        <v>6296</v>
      </c>
      <c r="H47" s="588">
        <f t="shared" si="16"/>
        <v>6503</v>
      </c>
      <c r="I47" s="588">
        <f t="shared" si="16"/>
        <v>6363</v>
      </c>
      <c r="J47" s="588">
        <v>6307</v>
      </c>
      <c r="K47" s="592">
        <v>6548</v>
      </c>
      <c r="L47" s="589"/>
      <c r="M47" s="589"/>
      <c r="N47" s="589"/>
      <c r="O47" s="589"/>
      <c r="P47" s="589"/>
      <c r="Q47" s="589"/>
      <c r="R47" s="589"/>
      <c r="S47" s="589"/>
      <c r="T47" s="589"/>
      <c r="U47" s="589"/>
      <c r="V47" s="589"/>
      <c r="W47" s="589"/>
      <c r="X47" s="589"/>
      <c r="Y47" s="817"/>
      <c r="Z47" s="1096"/>
    </row>
    <row r="48" spans="1:26" s="583" customFormat="1" ht="15">
      <c r="A48" s="582"/>
      <c r="B48" s="588"/>
      <c r="C48" s="588"/>
      <c r="D48" s="588"/>
      <c r="E48" s="588"/>
      <c r="F48" s="588"/>
      <c r="G48" s="588"/>
      <c r="H48" s="588"/>
      <c r="I48" s="588"/>
      <c r="J48" s="588"/>
      <c r="K48" s="816"/>
      <c r="L48" s="589"/>
      <c r="M48" s="589"/>
      <c r="N48" s="589"/>
      <c r="O48" s="589"/>
      <c r="P48" s="589"/>
      <c r="Q48" s="589"/>
      <c r="R48" s="589"/>
      <c r="S48" s="589"/>
      <c r="T48" s="589"/>
      <c r="U48" s="589"/>
      <c r="V48" s="589"/>
      <c r="W48" s="589"/>
      <c r="X48" s="589"/>
      <c r="Y48" s="817"/>
      <c r="Z48" s="1096"/>
    </row>
    <row r="49" spans="1:26" s="583" customFormat="1" ht="15">
      <c r="A49" s="326" t="s">
        <v>517</v>
      </c>
      <c r="B49" s="159">
        <v>8009.649</v>
      </c>
      <c r="C49" s="159">
        <v>7773.34</v>
      </c>
      <c r="D49" s="159">
        <v>7719.826</v>
      </c>
      <c r="E49" s="159">
        <v>7509.483</v>
      </c>
      <c r="F49" s="159">
        <v>7226.492</v>
      </c>
      <c r="G49" s="159">
        <v>7113.926</v>
      </c>
      <c r="H49" s="159">
        <v>7042.443</v>
      </c>
      <c r="I49" s="159">
        <v>6428.492</v>
      </c>
      <c r="J49" s="159">
        <v>5919.441</v>
      </c>
      <c r="K49" s="478">
        <f>K45*K50</f>
        <v>5998.964999999998</v>
      </c>
      <c r="L49" s="509">
        <f aca="true" t="shared" si="17" ref="L49:Y49">L45*L50</f>
        <v>5829.08519623654</v>
      </c>
      <c r="M49" s="509">
        <f t="shared" si="17"/>
        <v>5573.919700672438</v>
      </c>
      <c r="N49" s="509">
        <f t="shared" si="17"/>
        <v>5304.960874409129</v>
      </c>
      <c r="O49" s="509">
        <f t="shared" si="17"/>
        <v>5031.257653871039</v>
      </c>
      <c r="P49" s="509">
        <f t="shared" si="17"/>
        <v>4755.191824689869</v>
      </c>
      <c r="Q49" s="509">
        <f t="shared" si="17"/>
        <v>4477.551137930303</v>
      </c>
      <c r="R49" s="509">
        <f t="shared" si="17"/>
        <v>4198.359962588628</v>
      </c>
      <c r="S49" s="509">
        <f>S45*S50</f>
        <v>3918.222720027358</v>
      </c>
      <c r="T49" s="509">
        <f t="shared" si="17"/>
        <v>3637.2368309230974</v>
      </c>
      <c r="U49" s="509">
        <f t="shared" si="17"/>
        <v>3355.0989398374372</v>
      </c>
      <c r="V49" s="509">
        <f t="shared" si="17"/>
        <v>3072.091224016482</v>
      </c>
      <c r="W49" s="509">
        <f t="shared" si="17"/>
        <v>2789.3740067522613</v>
      </c>
      <c r="X49" s="509">
        <f t="shared" si="17"/>
        <v>2507.5208008126738</v>
      </c>
      <c r="Y49" s="924">
        <f t="shared" si="17"/>
        <v>2227.4929408442877</v>
      </c>
      <c r="Z49" s="1096"/>
    </row>
    <row r="50" spans="1:26" s="583" customFormat="1" ht="15">
      <c r="A50" s="582" t="s">
        <v>388</v>
      </c>
      <c r="B50" s="216">
        <f aca="true" t="shared" si="18" ref="B50:J50">B49/B45</f>
        <v>0.5532671824272984</v>
      </c>
      <c r="C50" s="216">
        <f t="shared" si="18"/>
        <v>0.534691154216536</v>
      </c>
      <c r="D50" s="216">
        <f t="shared" si="18"/>
        <v>0.5279596498427028</v>
      </c>
      <c r="E50" s="216">
        <f t="shared" si="18"/>
        <v>0.5068837664529193</v>
      </c>
      <c r="F50" s="216">
        <f t="shared" si="18"/>
        <v>0.48363619328068536</v>
      </c>
      <c r="G50" s="216">
        <f t="shared" si="18"/>
        <v>0.4737879453879454</v>
      </c>
      <c r="H50" s="216">
        <f t="shared" si="18"/>
        <v>0.46029039215686274</v>
      </c>
      <c r="I50" s="216">
        <f t="shared" si="18"/>
        <v>0.43515142489677117</v>
      </c>
      <c r="J50" s="216">
        <f t="shared" si="18"/>
        <v>0.40549671187833947</v>
      </c>
      <c r="K50" s="529">
        <f>Calculations!K28</f>
        <v>0.3989999999999999</v>
      </c>
      <c r="L50" s="714">
        <f>Calculations!L28</f>
        <v>0.38139999999999996</v>
      </c>
      <c r="M50" s="714">
        <f>Calculations!M28</f>
        <v>0.36379999999999996</v>
      </c>
      <c r="N50" s="714">
        <f>Calculations!N28</f>
        <v>0.34619999999999995</v>
      </c>
      <c r="O50" s="714">
        <f>Calculations!O28</f>
        <v>0.32859999999999995</v>
      </c>
      <c r="P50" s="714">
        <f>Calculations!P28</f>
        <v>0.31099999999999994</v>
      </c>
      <c r="Q50" s="714">
        <f>Calculations!Q28</f>
        <v>0.29339999999999994</v>
      </c>
      <c r="R50" s="714">
        <f>Calculations!R28</f>
        <v>0.27579999999999993</v>
      </c>
      <c r="S50" s="714">
        <f>Calculations!S28</f>
        <v>0.25819999999999993</v>
      </c>
      <c r="T50" s="714">
        <f>Calculations!T28</f>
        <v>0.24059999999999993</v>
      </c>
      <c r="U50" s="714">
        <f>Calculations!U28</f>
        <v>0.22299999999999992</v>
      </c>
      <c r="V50" s="714">
        <f>Calculations!V28</f>
        <v>0.20539999999999992</v>
      </c>
      <c r="W50" s="714">
        <f>Calculations!W28</f>
        <v>0.1877999999999999</v>
      </c>
      <c r="X50" s="714">
        <f>Calculations!X28</f>
        <v>0.1701999999999999</v>
      </c>
      <c r="Y50" s="942">
        <f>Calculations!Y28</f>
        <v>0.15259999999999996</v>
      </c>
      <c r="Z50" s="1096"/>
    </row>
    <row r="51" spans="1:26" s="583" customFormat="1" ht="15">
      <c r="A51" s="582"/>
      <c r="B51" s="216"/>
      <c r="C51" s="216"/>
      <c r="D51" s="216"/>
      <c r="E51" s="216"/>
      <c r="F51" s="216"/>
      <c r="G51" s="216"/>
      <c r="H51" s="216"/>
      <c r="I51" s="216"/>
      <c r="J51" s="216"/>
      <c r="K51" s="529"/>
      <c r="L51" s="714"/>
      <c r="M51" s="714"/>
      <c r="N51" s="714"/>
      <c r="O51" s="714"/>
      <c r="P51" s="714"/>
      <c r="Q51" s="714"/>
      <c r="R51" s="714"/>
      <c r="S51" s="714"/>
      <c r="T51" s="714"/>
      <c r="U51" s="714"/>
      <c r="V51" s="714"/>
      <c r="W51" s="714"/>
      <c r="X51" s="714"/>
      <c r="Y51" s="715"/>
      <c r="Z51" s="1096"/>
    </row>
    <row r="52" spans="1:26" ht="15">
      <c r="A52" s="326" t="s">
        <v>262</v>
      </c>
      <c r="B52" s="159">
        <f aca="true" t="shared" si="19" ref="B52:R52">B15-B45</f>
        <v>17836</v>
      </c>
      <c r="C52" s="159">
        <f t="shared" si="19"/>
        <v>18098</v>
      </c>
      <c r="D52" s="159">
        <f t="shared" si="19"/>
        <v>18938</v>
      </c>
      <c r="E52" s="159">
        <f t="shared" si="19"/>
        <v>19274</v>
      </c>
      <c r="F52" s="159">
        <f t="shared" si="19"/>
        <v>20119</v>
      </c>
      <c r="G52" s="159">
        <f t="shared" si="19"/>
        <v>21020</v>
      </c>
      <c r="H52" s="159">
        <f t="shared" si="19"/>
        <v>21892</v>
      </c>
      <c r="I52" s="159">
        <f t="shared" si="19"/>
        <v>22827</v>
      </c>
      <c r="J52" s="159">
        <f t="shared" si="19"/>
        <v>23520</v>
      </c>
      <c r="K52" s="190">
        <f t="shared" si="19"/>
        <v>23616</v>
      </c>
      <c r="L52" s="509">
        <f t="shared" si="19"/>
        <v>25288.392343900003</v>
      </c>
      <c r="M52" s="509">
        <f t="shared" si="19"/>
        <v>26188.7334462</v>
      </c>
      <c r="N52" s="509">
        <f t="shared" si="19"/>
        <v>27064.980693850004</v>
      </c>
      <c r="O52" s="509">
        <f t="shared" si="19"/>
        <v>27952.9841136</v>
      </c>
      <c r="P52" s="509">
        <f t="shared" si="19"/>
        <v>28862.48003283</v>
      </c>
      <c r="Q52" s="509">
        <f t="shared" si="19"/>
        <v>29796.39830944</v>
      </c>
      <c r="R52" s="509">
        <f t="shared" si="19"/>
        <v>30752.99553026526</v>
      </c>
      <c r="S52" s="509">
        <f>S15-S45</f>
        <v>31734.115390445426</v>
      </c>
      <c r="T52" s="509">
        <f aca="true" t="shared" si="20" ref="T52:Y52">T15-T45</f>
        <v>32737.530922541857</v>
      </c>
      <c r="U52" s="509">
        <f t="shared" si="20"/>
        <v>33755.51355233976</v>
      </c>
      <c r="V52" s="509">
        <f t="shared" si="20"/>
        <v>34782.73824812418</v>
      </c>
      <c r="W52" s="509">
        <f t="shared" si="20"/>
        <v>35822.28830319889</v>
      </c>
      <c r="X52" s="509">
        <f t="shared" si="20"/>
        <v>36870.67675981603</v>
      </c>
      <c r="Y52" s="924">
        <f t="shared" si="20"/>
        <v>37928.93085955141</v>
      </c>
      <c r="Z52" s="1096"/>
    </row>
    <row r="53" spans="1:26" ht="15">
      <c r="A53" s="418" t="s">
        <v>264</v>
      </c>
      <c r="B53" s="504">
        <f aca="true" t="shared" si="21" ref="B53:Y53">B52/B15</f>
        <v>0.5519759848977192</v>
      </c>
      <c r="C53" s="504">
        <f t="shared" si="21"/>
        <v>0.5545409976712833</v>
      </c>
      <c r="D53" s="504">
        <f t="shared" si="21"/>
        <v>0.5643027413587605</v>
      </c>
      <c r="E53" s="504">
        <f t="shared" si="21"/>
        <v>0.5654023291971016</v>
      </c>
      <c r="F53" s="504">
        <f t="shared" si="21"/>
        <v>0.5738284703801945</v>
      </c>
      <c r="G53" s="504">
        <f t="shared" si="21"/>
        <v>0.583321770500902</v>
      </c>
      <c r="H53" s="504">
        <f t="shared" si="21"/>
        <v>0.5886212088621209</v>
      </c>
      <c r="I53" s="504">
        <f t="shared" si="21"/>
        <v>0.6071010638297872</v>
      </c>
      <c r="J53" s="504">
        <f t="shared" si="21"/>
        <v>0.617031323784039</v>
      </c>
      <c r="K53" s="505">
        <f t="shared" si="21"/>
        <v>0.6110061835398826</v>
      </c>
      <c r="L53" s="220">
        <f t="shared" si="21"/>
        <v>0.6233</v>
      </c>
      <c r="M53" s="220">
        <f t="shared" si="21"/>
        <v>0.6309000000000001</v>
      </c>
      <c r="N53" s="220">
        <f t="shared" si="21"/>
        <v>0.6385000000000001</v>
      </c>
      <c r="O53" s="220">
        <f t="shared" si="21"/>
        <v>0.6461</v>
      </c>
      <c r="P53" s="220">
        <f t="shared" si="21"/>
        <v>0.6537000000000001</v>
      </c>
      <c r="Q53" s="220">
        <f t="shared" si="21"/>
        <v>0.6613</v>
      </c>
      <c r="R53" s="220">
        <f t="shared" si="21"/>
        <v>0.6689</v>
      </c>
      <c r="S53" s="220">
        <f>S52/S15</f>
        <v>0.6765</v>
      </c>
      <c r="T53" s="220">
        <f t="shared" si="21"/>
        <v>0.6841</v>
      </c>
      <c r="U53" s="220">
        <f t="shared" si="21"/>
        <v>0.6917</v>
      </c>
      <c r="V53" s="220">
        <f t="shared" si="21"/>
        <v>0.6993000000000001</v>
      </c>
      <c r="W53" s="220">
        <f t="shared" si="21"/>
        <v>0.7069</v>
      </c>
      <c r="X53" s="220">
        <f t="shared" si="21"/>
        <v>0.7145</v>
      </c>
      <c r="Y53" s="932">
        <f t="shared" si="21"/>
        <v>0.7221</v>
      </c>
      <c r="Z53" s="1096"/>
    </row>
    <row r="54" spans="1:25" s="133" customFormat="1" ht="15">
      <c r="A54" s="321"/>
      <c r="B54" s="417"/>
      <c r="C54" s="415"/>
      <c r="D54" s="415"/>
      <c r="E54" s="415"/>
      <c r="F54" s="415"/>
      <c r="G54" s="415"/>
      <c r="H54" s="415"/>
      <c r="I54" s="415"/>
      <c r="J54" s="415"/>
      <c r="K54" s="415"/>
      <c r="L54" s="415"/>
      <c r="M54" s="415"/>
      <c r="N54" s="415"/>
      <c r="O54" s="415"/>
      <c r="P54" s="415"/>
      <c r="Q54" s="415"/>
      <c r="R54" s="415"/>
      <c r="S54" s="415"/>
      <c r="T54" s="415"/>
      <c r="U54" s="415"/>
      <c r="V54" s="415"/>
      <c r="W54" s="415"/>
      <c r="X54" s="415"/>
      <c r="Y54" s="416"/>
    </row>
    <row r="55" spans="1:26" s="140" customFormat="1" ht="15">
      <c r="A55" s="174" t="s">
        <v>110</v>
      </c>
      <c r="B55" s="149"/>
      <c r="C55" s="175">
        <v>13357</v>
      </c>
      <c r="D55" s="175"/>
      <c r="E55" s="175"/>
      <c r="F55" s="175">
        <v>16871</v>
      </c>
      <c r="G55" s="175"/>
      <c r="H55" s="175"/>
      <c r="I55" s="175">
        <v>18935</v>
      </c>
      <c r="J55" s="175">
        <f aca="true" t="shared" si="22" ref="J55:R55">I55*(1+J10)</f>
        <v>19495.33627978478</v>
      </c>
      <c r="K55" s="176">
        <f t="shared" si="22"/>
        <v>20309.20653343582</v>
      </c>
      <c r="L55" s="177">
        <f t="shared" si="22"/>
        <v>20580.933243658725</v>
      </c>
      <c r="M55" s="177">
        <f t="shared" si="22"/>
        <v>21136.618441237508</v>
      </c>
      <c r="N55" s="177">
        <f t="shared" si="22"/>
        <v>22003.219797328245</v>
      </c>
      <c r="O55" s="177">
        <f t="shared" si="22"/>
        <v>22663.316391248092</v>
      </c>
      <c r="P55" s="177">
        <f t="shared" si="22"/>
        <v>23547.185730506768</v>
      </c>
      <c r="Q55" s="177">
        <f t="shared" si="22"/>
        <v>24300.695673882987</v>
      </c>
      <c r="R55" s="177">
        <f t="shared" si="22"/>
        <v>25078.31793544724</v>
      </c>
      <c r="S55" s="177">
        <f>R55*(1+S10)</f>
        <v>25880.824109381552</v>
      </c>
      <c r="T55" s="177">
        <f aca="true" t="shared" si="23" ref="T55:Y55">S55*(1+T10)</f>
        <v>26709.010480881763</v>
      </c>
      <c r="U55" s="177">
        <f t="shared" si="23"/>
        <v>27563.69881626998</v>
      </c>
      <c r="V55" s="177">
        <f t="shared" si="23"/>
        <v>28445.737178390624</v>
      </c>
      <c r="W55" s="177">
        <f t="shared" si="23"/>
        <v>29356.000768099126</v>
      </c>
      <c r="X55" s="177">
        <f t="shared" si="23"/>
        <v>30295.3927926783</v>
      </c>
      <c r="Y55" s="177">
        <f t="shared" si="23"/>
        <v>31264.845362044005</v>
      </c>
      <c r="Z55" s="1086" t="s">
        <v>300</v>
      </c>
    </row>
    <row r="56" spans="1:26" s="179" customFormat="1" ht="15">
      <c r="A56" s="325" t="s">
        <v>368</v>
      </c>
      <c r="B56" s="703"/>
      <c r="C56" s="154">
        <v>0.266</v>
      </c>
      <c r="D56" s="154"/>
      <c r="E56" s="154"/>
      <c r="F56" s="154">
        <v>0.263</v>
      </c>
      <c r="G56" s="154"/>
      <c r="H56" s="154"/>
      <c r="I56" s="701">
        <v>0.252</v>
      </c>
      <c r="J56" s="842">
        <v>0.246</v>
      </c>
      <c r="K56" s="843">
        <v>0.258</v>
      </c>
      <c r="L56" s="201">
        <f>Calculations!L85</f>
        <v>0.25585714285714284</v>
      </c>
      <c r="M56" s="201">
        <f>Calculations!M85</f>
        <v>0.25371428571428567</v>
      </c>
      <c r="N56" s="201">
        <f>Calculations!N85</f>
        <v>0.2515714285714285</v>
      </c>
      <c r="O56" s="201">
        <f>Calculations!O85</f>
        <v>0.24942857142857136</v>
      </c>
      <c r="P56" s="201">
        <f>Calculations!P85</f>
        <v>0.24728571428571422</v>
      </c>
      <c r="Q56" s="201">
        <f>Calculations!Q85</f>
        <v>0.24514285714285708</v>
      </c>
      <c r="R56" s="201">
        <f>Calculations!R85</f>
        <v>0.24299999999999994</v>
      </c>
      <c r="S56" s="201">
        <f>Calculations!S85</f>
        <v>0.2408571428571428</v>
      </c>
      <c r="T56" s="201">
        <f>Calculations!T85</f>
        <v>0.23871428571428566</v>
      </c>
      <c r="U56" s="201">
        <f>Calculations!U85</f>
        <v>0.23657142857142852</v>
      </c>
      <c r="V56" s="201">
        <f>Calculations!V85</f>
        <v>0.23442857142857138</v>
      </c>
      <c r="W56" s="201">
        <f>Calculations!W85</f>
        <v>0.23228571428571423</v>
      </c>
      <c r="X56" s="201">
        <f>Calculations!X85</f>
        <v>0.2301428571428571</v>
      </c>
      <c r="Y56" s="201">
        <f>Calculations!Y85</f>
        <v>0.228</v>
      </c>
      <c r="Z56" s="1086"/>
    </row>
    <row r="57" spans="1:26" s="179" customFormat="1" ht="15">
      <c r="A57" s="325"/>
      <c r="B57" s="703"/>
      <c r="C57" s="154"/>
      <c r="D57" s="154"/>
      <c r="E57" s="154"/>
      <c r="F57" s="154"/>
      <c r="G57" s="154"/>
      <c r="H57" s="154"/>
      <c r="I57" s="701"/>
      <c r="J57" s="842"/>
      <c r="K57" s="852"/>
      <c r="L57" s="201"/>
      <c r="M57" s="201"/>
      <c r="N57" s="201"/>
      <c r="O57" s="201"/>
      <c r="P57" s="201"/>
      <c r="Q57" s="201"/>
      <c r="R57" s="201"/>
      <c r="S57" s="201"/>
      <c r="T57" s="201"/>
      <c r="U57" s="201"/>
      <c r="V57" s="201"/>
      <c r="W57" s="201"/>
      <c r="X57" s="201"/>
      <c r="Y57" s="201"/>
      <c r="Z57" s="841"/>
    </row>
    <row r="58" spans="1:26" s="179" customFormat="1" ht="15" customHeight="1">
      <c r="A58" s="325" t="s">
        <v>515</v>
      </c>
      <c r="B58" s="703"/>
      <c r="C58" s="154">
        <v>0.229</v>
      </c>
      <c r="D58" s="154"/>
      <c r="E58" s="154"/>
      <c r="F58" s="154">
        <v>0.228</v>
      </c>
      <c r="G58" s="154"/>
      <c r="H58" s="154"/>
      <c r="I58" s="701">
        <v>0.219</v>
      </c>
      <c r="J58" s="530">
        <f>Calculations!J87</f>
        <v>0.2137857142857143</v>
      </c>
      <c r="K58" s="531">
        <f>Calculations!K87</f>
        <v>0.22421428571428573</v>
      </c>
      <c r="L58" s="434">
        <f>Calculations!L87</f>
        <v>0.2223520408163265</v>
      </c>
      <c r="M58" s="434">
        <f>Calculations!M87</f>
        <v>0.22048979591836732</v>
      </c>
      <c r="N58" s="434">
        <f>Calculations!N87</f>
        <v>0.2186275510204081</v>
      </c>
      <c r="O58" s="434">
        <f>Calculations!O87</f>
        <v>0.21676530612244893</v>
      </c>
      <c r="P58" s="434">
        <f>Calculations!P87</f>
        <v>0.21490306122448974</v>
      </c>
      <c r="Q58" s="434">
        <f>Calculations!Q87</f>
        <v>0.21304081632653057</v>
      </c>
      <c r="R58" s="434">
        <f>Calculations!R87</f>
        <v>0.21117857142857138</v>
      </c>
      <c r="S58" s="434">
        <f>Calculations!S87</f>
        <v>0.2093163265306122</v>
      </c>
      <c r="T58" s="434">
        <f>Calculations!T87</f>
        <v>0.20745408163265303</v>
      </c>
      <c r="U58" s="434">
        <f>Calculations!U87</f>
        <v>0.20559183673469383</v>
      </c>
      <c r="V58" s="434">
        <f>Calculations!V87</f>
        <v>0.20372959183673464</v>
      </c>
      <c r="W58" s="434">
        <f>Calculations!W87</f>
        <v>0.20186734693877548</v>
      </c>
      <c r="X58" s="434">
        <f>Calculations!X87</f>
        <v>0.20000510204081628</v>
      </c>
      <c r="Y58" s="434">
        <f>Calculations!Y87</f>
        <v>0.19814285714285715</v>
      </c>
      <c r="Z58" s="1086" t="s">
        <v>519</v>
      </c>
    </row>
    <row r="59" spans="1:26" s="179" customFormat="1" ht="15">
      <c r="A59" s="325" t="s">
        <v>518</v>
      </c>
      <c r="B59" s="703"/>
      <c r="C59" s="154">
        <v>0.169</v>
      </c>
      <c r="D59" s="154"/>
      <c r="E59" s="154"/>
      <c r="F59" s="154">
        <v>0.161</v>
      </c>
      <c r="G59" s="154"/>
      <c r="H59" s="154"/>
      <c r="I59" s="701">
        <v>0.162</v>
      </c>
      <c r="J59" s="701">
        <f>Calculations!J88</f>
        <v>0.15814285714285714</v>
      </c>
      <c r="K59" s="826">
        <f>Calculations!K88</f>
        <v>0.16585714285714287</v>
      </c>
      <c r="L59" s="434">
        <f>Calculations!L88</f>
        <v>0.1644795918367347</v>
      </c>
      <c r="M59" s="434">
        <f>Calculations!M88</f>
        <v>0.1631020408163265</v>
      </c>
      <c r="N59" s="434">
        <f>Calculations!N88</f>
        <v>0.16172448979591833</v>
      </c>
      <c r="O59" s="434">
        <f>Calculations!O88</f>
        <v>0.16034693877551018</v>
      </c>
      <c r="P59" s="434">
        <f>Calculations!P88</f>
        <v>0.158969387755102</v>
      </c>
      <c r="Q59" s="434">
        <f>Calculations!Q88</f>
        <v>0.15759183673469385</v>
      </c>
      <c r="R59" s="434">
        <f>Calculations!R88</f>
        <v>0.1562142857142857</v>
      </c>
      <c r="S59" s="434">
        <f>Calculations!S88</f>
        <v>0.15483673469387751</v>
      </c>
      <c r="T59" s="434">
        <f>Calculations!T88</f>
        <v>0.15345918367346936</v>
      </c>
      <c r="U59" s="434">
        <f>Calculations!U88</f>
        <v>0.1520816326530612</v>
      </c>
      <c r="V59" s="434">
        <f>Calculations!V88</f>
        <v>0.15070408163265303</v>
      </c>
      <c r="W59" s="434">
        <f>Calculations!W88</f>
        <v>0.14932653061224488</v>
      </c>
      <c r="X59" s="434">
        <f>Calculations!X88</f>
        <v>0.14794897959183673</v>
      </c>
      <c r="Y59" s="434">
        <f>Calculations!Y88</f>
        <v>0.14657142857142857</v>
      </c>
      <c r="Z59" s="1086"/>
    </row>
    <row r="60" spans="1:26" s="179" customFormat="1" ht="15">
      <c r="A60" s="325" t="s">
        <v>509</v>
      </c>
      <c r="B60" s="703"/>
      <c r="C60" s="154">
        <v>0.3</v>
      </c>
      <c r="D60" s="154"/>
      <c r="E60" s="154"/>
      <c r="F60" s="154">
        <v>0.29</v>
      </c>
      <c r="G60" s="154"/>
      <c r="H60" s="154"/>
      <c r="I60" s="530">
        <v>0.29</v>
      </c>
      <c r="J60" s="530">
        <f>Calculations!J89</f>
        <v>0.28309523809523807</v>
      </c>
      <c r="K60" s="531">
        <f>Calculations!K89</f>
        <v>0.2969047619047619</v>
      </c>
      <c r="L60" s="434">
        <f>Calculations!L89</f>
        <v>0.29443877551020403</v>
      </c>
      <c r="M60" s="434">
        <f>Calculations!M89</f>
        <v>0.29197278911564617</v>
      </c>
      <c r="N60" s="434">
        <f>Calculations!N89</f>
        <v>0.2895068027210883</v>
      </c>
      <c r="O60" s="434">
        <f>Calculations!O89</f>
        <v>0.2870408163265305</v>
      </c>
      <c r="P60" s="434">
        <f>Calculations!P89</f>
        <v>0.2845748299319727</v>
      </c>
      <c r="Q60" s="434">
        <f>Calculations!Q89</f>
        <v>0.2821088435374149</v>
      </c>
      <c r="R60" s="434">
        <f>Calculations!R89</f>
        <v>0.279642857142857</v>
      </c>
      <c r="S60" s="434">
        <f>Calculations!S89</f>
        <v>0.2771768707482992</v>
      </c>
      <c r="T60" s="434">
        <f>Calculations!T89</f>
        <v>0.2747108843537414</v>
      </c>
      <c r="U60" s="434">
        <f>Calculations!U89</f>
        <v>0.2722448979591836</v>
      </c>
      <c r="V60" s="434">
        <f>Calculations!V89</f>
        <v>0.26977891156462575</v>
      </c>
      <c r="W60" s="434">
        <f>Calculations!W89</f>
        <v>0.26731292517006794</v>
      </c>
      <c r="X60" s="434">
        <f>Calculations!X89</f>
        <v>0.26484693877551013</v>
      </c>
      <c r="Y60" s="434">
        <f>Calculations!Y89</f>
        <v>0.2623809523809524</v>
      </c>
      <c r="Z60" s="1086"/>
    </row>
    <row r="61" spans="1:26" s="179" customFormat="1" ht="12.75" customHeight="1">
      <c r="A61" s="582" t="s">
        <v>366</v>
      </c>
      <c r="B61" s="703"/>
      <c r="C61" s="166">
        <v>0.275</v>
      </c>
      <c r="D61" s="166"/>
      <c r="E61" s="166"/>
      <c r="F61" s="166">
        <v>0.263</v>
      </c>
      <c r="G61" s="166"/>
      <c r="H61" s="166"/>
      <c r="I61" s="216">
        <v>0.26</v>
      </c>
      <c r="J61" s="216">
        <f>Calculations!J90</f>
        <v>0.2538095238095238</v>
      </c>
      <c r="K61" s="529">
        <f>Calculations!K90</f>
        <v>0.2661904761904762</v>
      </c>
      <c r="L61" s="450">
        <f>Calculations!L90</f>
        <v>0.2639795918367347</v>
      </c>
      <c r="M61" s="450">
        <f>Calculations!M90</f>
        <v>0.2617687074829932</v>
      </c>
      <c r="N61" s="450">
        <f>Calculations!N90</f>
        <v>0.25955782312925163</v>
      </c>
      <c r="O61" s="450">
        <f>Calculations!O90</f>
        <v>0.2573469387755102</v>
      </c>
      <c r="P61" s="450">
        <f>Calculations!P90</f>
        <v>0.2551360544217687</v>
      </c>
      <c r="Q61" s="450">
        <f>Calculations!Q90</f>
        <v>0.25292517006802717</v>
      </c>
      <c r="R61" s="450">
        <f>Calculations!R90</f>
        <v>0.25071428571428567</v>
      </c>
      <c r="S61" s="450">
        <f>Calculations!S90</f>
        <v>0.2485034013605442</v>
      </c>
      <c r="T61" s="450">
        <f>Calculations!T90</f>
        <v>0.24629251700680269</v>
      </c>
      <c r="U61" s="450">
        <f>Calculations!U90</f>
        <v>0.24408163265306118</v>
      </c>
      <c r="V61" s="450">
        <f>Calculations!V90</f>
        <v>0.2418707482993197</v>
      </c>
      <c r="W61" s="450">
        <f>Calculations!W90</f>
        <v>0.2396598639455782</v>
      </c>
      <c r="X61" s="450">
        <f>Calculations!X90</f>
        <v>0.2374489795918367</v>
      </c>
      <c r="Y61" s="450">
        <f>Calculations!Y90</f>
        <v>0.23523809523809527</v>
      </c>
      <c r="Z61" s="1086"/>
    </row>
    <row r="62" spans="1:26" s="179" customFormat="1" ht="15">
      <c r="A62" s="704" t="s">
        <v>367</v>
      </c>
      <c r="B62" s="828"/>
      <c r="C62" s="840">
        <v>0.387</v>
      </c>
      <c r="D62" s="840"/>
      <c r="E62" s="840"/>
      <c r="F62" s="840">
        <v>0.396</v>
      </c>
      <c r="G62" s="840"/>
      <c r="H62" s="840"/>
      <c r="I62" s="829">
        <v>0.373</v>
      </c>
      <c r="J62" s="840">
        <f>Calculations!J91</f>
        <v>0.3641190476190476</v>
      </c>
      <c r="K62" s="830">
        <f>Calculations!K91</f>
        <v>0.38188095238095243</v>
      </c>
      <c r="L62" s="831">
        <f>Calculations!L91</f>
        <v>0.3787091836734694</v>
      </c>
      <c r="M62" s="831">
        <f>Calculations!M91</f>
        <v>0.37553741496598636</v>
      </c>
      <c r="N62" s="831">
        <f>Calculations!N91</f>
        <v>0.3723656462585033</v>
      </c>
      <c r="O62" s="831">
        <f>Calculations!O91</f>
        <v>0.36919387755102034</v>
      </c>
      <c r="P62" s="831">
        <f>Calculations!P91</f>
        <v>0.3660221088435373</v>
      </c>
      <c r="Q62" s="831">
        <f>Calculations!Q91</f>
        <v>0.36285034013605433</v>
      </c>
      <c r="R62" s="831">
        <f>Calculations!R91</f>
        <v>0.35967857142857135</v>
      </c>
      <c r="S62" s="831">
        <f>Calculations!S91</f>
        <v>0.35650680272108837</v>
      </c>
      <c r="T62" s="831">
        <f>Calculations!T91</f>
        <v>0.3533350340136054</v>
      </c>
      <c r="U62" s="831">
        <f>Calculations!U91</f>
        <v>0.3501632653061224</v>
      </c>
      <c r="V62" s="831">
        <f>Calculations!V91</f>
        <v>0.34699149659863937</v>
      </c>
      <c r="W62" s="831">
        <f>Calculations!W91</f>
        <v>0.3438197278911564</v>
      </c>
      <c r="X62" s="831">
        <f>Calculations!X91</f>
        <v>0.3406479591836734</v>
      </c>
      <c r="Y62" s="831">
        <f>Calculations!Y91</f>
        <v>0.3374761904761905</v>
      </c>
      <c r="Z62" s="1086"/>
    </row>
    <row r="63" spans="1:25" s="140" customFormat="1" ht="15">
      <c r="A63" s="180"/>
      <c r="B63" s="181"/>
      <c r="C63" s="182"/>
      <c r="D63" s="181"/>
      <c r="E63" s="181"/>
      <c r="F63" s="181"/>
      <c r="G63" s="181"/>
      <c r="H63" s="147"/>
      <c r="I63" s="147"/>
      <c r="J63" s="147"/>
      <c r="K63" s="147"/>
      <c r="L63" s="147"/>
      <c r="M63" s="183"/>
      <c r="N63" s="183"/>
      <c r="O63" s="183"/>
      <c r="P63" s="183"/>
      <c r="Q63" s="183"/>
      <c r="R63" s="183"/>
      <c r="S63" s="183"/>
      <c r="T63" s="183"/>
      <c r="U63" s="183"/>
      <c r="V63" s="183"/>
      <c r="W63" s="183"/>
      <c r="X63" s="183"/>
      <c r="Y63" s="184"/>
    </row>
    <row r="64" spans="1:26" s="133" customFormat="1" ht="15" customHeight="1">
      <c r="A64" s="136" t="s">
        <v>93</v>
      </c>
      <c r="B64" s="185">
        <v>0.048</v>
      </c>
      <c r="C64" s="186">
        <f aca="true" t="shared" si="24" ref="C64:H64">C65/B65-1</f>
        <v>0.052429674653151404</v>
      </c>
      <c r="D64" s="186">
        <f t="shared" si="24"/>
        <v>0.06616660634307348</v>
      </c>
      <c r="E64" s="186">
        <f t="shared" si="24"/>
        <v>0.04152765314954121</v>
      </c>
      <c r="F64" s="186">
        <f t="shared" si="24"/>
        <v>0.011483261445597526</v>
      </c>
      <c r="G64" s="186">
        <f t="shared" si="24"/>
        <v>0.07632257552989863</v>
      </c>
      <c r="H64" s="186">
        <f t="shared" si="24"/>
        <v>0.03638684221926747</v>
      </c>
      <c r="I64" s="186">
        <f>I65/H65-1</f>
        <v>0.06823049585378227</v>
      </c>
      <c r="J64" s="186">
        <v>0.071</v>
      </c>
      <c r="K64" s="187">
        <v>0.061</v>
      </c>
      <c r="L64" s="188">
        <v>0.06713</v>
      </c>
      <c r="M64" s="188">
        <v>0.06295</v>
      </c>
      <c r="N64" s="188">
        <v>0.06003</v>
      </c>
      <c r="O64" s="188">
        <v>0.06</v>
      </c>
      <c r="P64" s="188">
        <v>0.06003</v>
      </c>
      <c r="Q64" s="188">
        <v>0.06</v>
      </c>
      <c r="R64" s="188">
        <f>Q64</f>
        <v>0.06</v>
      </c>
      <c r="S64" s="188">
        <f>R64</f>
        <v>0.06</v>
      </c>
      <c r="T64" s="188">
        <f aca="true" t="shared" si="25" ref="T64:Y64">S64</f>
        <v>0.06</v>
      </c>
      <c r="U64" s="188">
        <f t="shared" si="25"/>
        <v>0.06</v>
      </c>
      <c r="V64" s="188">
        <f t="shared" si="25"/>
        <v>0.06</v>
      </c>
      <c r="W64" s="188">
        <f t="shared" si="25"/>
        <v>0.06</v>
      </c>
      <c r="X64" s="188">
        <f t="shared" si="25"/>
        <v>0.06</v>
      </c>
      <c r="Y64" s="188">
        <f t="shared" si="25"/>
        <v>0.06</v>
      </c>
      <c r="Z64" s="1086" t="s">
        <v>406</v>
      </c>
    </row>
    <row r="65" spans="1:26" ht="15">
      <c r="A65" s="157" t="s">
        <v>103</v>
      </c>
      <c r="B65" s="158">
        <v>4481.279</v>
      </c>
      <c r="C65" s="159">
        <v>4716.231</v>
      </c>
      <c r="D65" s="159">
        <v>5028.288</v>
      </c>
      <c r="E65" s="159">
        <v>5237.101</v>
      </c>
      <c r="F65" s="159">
        <v>5297.24</v>
      </c>
      <c r="G65" s="159">
        <v>5701.539</v>
      </c>
      <c r="H65" s="159">
        <v>5909</v>
      </c>
      <c r="I65" s="159">
        <v>6312.174</v>
      </c>
      <c r="J65" s="159">
        <v>6765.458</v>
      </c>
      <c r="K65" s="478">
        <v>7178</v>
      </c>
      <c r="L65" s="160">
        <v>7659.736</v>
      </c>
      <c r="M65" s="160">
        <v>8141.948</v>
      </c>
      <c r="N65" s="160">
        <v>8630.722</v>
      </c>
      <c r="O65" s="160">
        <v>9148.561</v>
      </c>
      <c r="P65" s="160">
        <v>9697.743</v>
      </c>
      <c r="Q65" s="160">
        <v>10279.631</v>
      </c>
      <c r="R65" s="509">
        <f>Q65*(1+R64)</f>
        <v>10896.40886</v>
      </c>
      <c r="S65" s="509">
        <f>R65*(1+S64)</f>
        <v>11550.1933916</v>
      </c>
      <c r="T65" s="509">
        <f aca="true" t="shared" si="26" ref="T65:Y65">S65*(1+T64)</f>
        <v>12243.204995096</v>
      </c>
      <c r="U65" s="509">
        <f t="shared" si="26"/>
        <v>12977.797294801761</v>
      </c>
      <c r="V65" s="509">
        <f t="shared" si="26"/>
        <v>13756.465132489868</v>
      </c>
      <c r="W65" s="509">
        <f t="shared" si="26"/>
        <v>14581.85304043926</v>
      </c>
      <c r="X65" s="509">
        <f t="shared" si="26"/>
        <v>15456.764222865617</v>
      </c>
      <c r="Y65" s="509">
        <f t="shared" si="26"/>
        <v>16384.170076237555</v>
      </c>
      <c r="Z65" s="1086"/>
    </row>
    <row r="66" spans="1:26" s="133" customFormat="1" ht="15">
      <c r="A66" s="153" t="s">
        <v>83</v>
      </c>
      <c r="B66" s="192">
        <v>5677.75</v>
      </c>
      <c r="C66" s="162">
        <v>6271.157</v>
      </c>
      <c r="D66" s="162">
        <v>6892.721</v>
      </c>
      <c r="E66" s="162">
        <v>7720.903</v>
      </c>
      <c r="F66" s="162">
        <v>8026.143</v>
      </c>
      <c r="G66" s="162">
        <v>9003.48</v>
      </c>
      <c r="H66" s="162">
        <v>9706.268</v>
      </c>
      <c r="I66" s="162">
        <v>10564.886</v>
      </c>
      <c r="J66" s="162">
        <v>11548.191</v>
      </c>
      <c r="K66" s="193">
        <v>12634</v>
      </c>
      <c r="L66" s="194">
        <v>13784.458</v>
      </c>
      <c r="M66" s="194">
        <v>15068.987</v>
      </c>
      <c r="N66" s="194">
        <v>16572.912</v>
      </c>
      <c r="O66" s="194">
        <v>18234.048</v>
      </c>
      <c r="P66" s="194">
        <v>20042.918</v>
      </c>
      <c r="Q66" s="194">
        <v>22005.869</v>
      </c>
      <c r="R66" s="509">
        <f>Q66*(1+R64)</f>
        <v>23326.22114</v>
      </c>
      <c r="S66" s="509">
        <f>R66*(1+S64)</f>
        <v>24725.794408400005</v>
      </c>
      <c r="T66" s="509">
        <f aca="true" t="shared" si="27" ref="T66:Y66">S66*(1+T64)</f>
        <v>26209.342072904004</v>
      </c>
      <c r="U66" s="509">
        <f t="shared" si="27"/>
        <v>27781.902597278247</v>
      </c>
      <c r="V66" s="509">
        <f t="shared" si="27"/>
        <v>29448.816753114945</v>
      </c>
      <c r="W66" s="509">
        <f t="shared" si="27"/>
        <v>31215.745758301844</v>
      </c>
      <c r="X66" s="509">
        <f t="shared" si="27"/>
        <v>33088.69050379995</v>
      </c>
      <c r="Y66" s="509">
        <f t="shared" si="27"/>
        <v>35074.01193402795</v>
      </c>
      <c r="Z66" s="1086"/>
    </row>
    <row r="67" spans="1:26" s="133" customFormat="1" ht="15">
      <c r="A67" s="153" t="s">
        <v>65</v>
      </c>
      <c r="B67" s="196">
        <f aca="true" t="shared" si="28" ref="B67:O67">B66/B65</f>
        <v>1.2669931954694182</v>
      </c>
      <c r="C67" s="197">
        <f t="shared" si="28"/>
        <v>1.3296967430136482</v>
      </c>
      <c r="D67" s="197">
        <f t="shared" si="28"/>
        <v>1.3707888251428717</v>
      </c>
      <c r="E67" s="197">
        <f t="shared" si="28"/>
        <v>1.4742704026521545</v>
      </c>
      <c r="F67" s="197">
        <f t="shared" si="28"/>
        <v>1.5151556282139378</v>
      </c>
      <c r="G67" s="197">
        <f t="shared" si="28"/>
        <v>1.5791315292239516</v>
      </c>
      <c r="H67" s="197">
        <f t="shared" si="28"/>
        <v>1.6426244711457099</v>
      </c>
      <c r="I67" s="197">
        <f t="shared" si="28"/>
        <v>1.6737317444037507</v>
      </c>
      <c r="J67" s="197">
        <f t="shared" si="28"/>
        <v>1.706934105569793</v>
      </c>
      <c r="K67" s="198">
        <f>K66/K65</f>
        <v>1.760100306492059</v>
      </c>
      <c r="L67" s="199">
        <f>L66/L65</f>
        <v>1.7995996206657776</v>
      </c>
      <c r="M67" s="199">
        <f t="shared" si="28"/>
        <v>1.8507839892861018</v>
      </c>
      <c r="N67" s="199">
        <f t="shared" si="28"/>
        <v>1.9202231284937692</v>
      </c>
      <c r="O67" s="199">
        <f t="shared" si="28"/>
        <v>1.9931055823970567</v>
      </c>
      <c r="P67" s="199">
        <f>P66/P65</f>
        <v>2.066761101010823</v>
      </c>
      <c r="Q67" s="199">
        <f>Q66/Q65</f>
        <v>2.1407255766281885</v>
      </c>
      <c r="R67" s="745">
        <f>Q67*(1+R68)</f>
        <v>2.217337065318655</v>
      </c>
      <c r="S67" s="745">
        <f>R67*(1+S68)</f>
        <v>2.2966902973990493</v>
      </c>
      <c r="T67" s="745">
        <f aca="true" t="shared" si="29" ref="T67:Y67">S67*(1+T68)</f>
        <v>2.378883393359453</v>
      </c>
      <c r="U67" s="745">
        <f t="shared" si="29"/>
        <v>2.4640179851894595</v>
      </c>
      <c r="V67" s="745">
        <f t="shared" si="29"/>
        <v>2.5521993420464084</v>
      </c>
      <c r="W67" s="745">
        <f t="shared" si="29"/>
        <v>2.643536500420989</v>
      </c>
      <c r="X67" s="745">
        <f t="shared" si="29"/>
        <v>2.7381423989611613</v>
      </c>
      <c r="Y67" s="745">
        <f t="shared" si="29"/>
        <v>2.8361340181211045</v>
      </c>
      <c r="Z67" s="1086"/>
    </row>
    <row r="68" spans="1:26" s="133" customFormat="1" ht="15">
      <c r="A68" s="153" t="s">
        <v>94</v>
      </c>
      <c r="B68" s="196"/>
      <c r="C68" s="154">
        <f aca="true" t="shared" si="30" ref="C68:I68">C67/B67-1</f>
        <v>0.04949004285772696</v>
      </c>
      <c r="D68" s="154">
        <f t="shared" si="30"/>
        <v>0.03090334871099376</v>
      </c>
      <c r="E68" s="154">
        <f t="shared" si="30"/>
        <v>0.0754905318829815</v>
      </c>
      <c r="F68" s="154">
        <f t="shared" si="30"/>
        <v>0.027732514665038677</v>
      </c>
      <c r="G68" s="154">
        <f t="shared" si="30"/>
        <v>0.0422239800444979</v>
      </c>
      <c r="H68" s="154">
        <f t="shared" si="30"/>
        <v>0.04020750694083164</v>
      </c>
      <c r="I68" s="154">
        <f t="shared" si="30"/>
        <v>0.01893754403667436</v>
      </c>
      <c r="J68" s="154">
        <f aca="true" t="shared" si="31" ref="J68:Q68">J67/I67-1</f>
        <v>0.019837325352199953</v>
      </c>
      <c r="K68" s="200">
        <f t="shared" si="31"/>
        <v>0.03114719001089883</v>
      </c>
      <c r="L68" s="201">
        <f t="shared" si="31"/>
        <v>0.02244151315014653</v>
      </c>
      <c r="M68" s="201">
        <f t="shared" si="31"/>
        <v>0.028442086802278777</v>
      </c>
      <c r="N68" s="201">
        <f t="shared" si="31"/>
        <v>0.037518770212860986</v>
      </c>
      <c r="O68" s="201">
        <f t="shared" si="31"/>
        <v>0.037955200529459665</v>
      </c>
      <c r="P68" s="201">
        <f t="shared" si="31"/>
        <v>0.03695515143015293</v>
      </c>
      <c r="Q68" s="201">
        <f t="shared" si="31"/>
        <v>0.03578762711432426</v>
      </c>
      <c r="R68" s="201">
        <f>Q68</f>
        <v>0.03578762711432426</v>
      </c>
      <c r="S68" s="201">
        <f>R68</f>
        <v>0.03578762711432426</v>
      </c>
      <c r="T68" s="201">
        <f aca="true" t="shared" si="32" ref="T68:Y68">S68</f>
        <v>0.03578762711432426</v>
      </c>
      <c r="U68" s="201">
        <f t="shared" si="32"/>
        <v>0.03578762711432426</v>
      </c>
      <c r="V68" s="201">
        <f t="shared" si="32"/>
        <v>0.03578762711432426</v>
      </c>
      <c r="W68" s="201">
        <f t="shared" si="32"/>
        <v>0.03578762711432426</v>
      </c>
      <c r="X68" s="201">
        <f t="shared" si="32"/>
        <v>0.03578762711432426</v>
      </c>
      <c r="Y68" s="201">
        <f t="shared" si="32"/>
        <v>0.03578762711432426</v>
      </c>
      <c r="Z68" s="1086"/>
    </row>
    <row r="69" spans="1:26" ht="15">
      <c r="A69" s="178" t="s">
        <v>104</v>
      </c>
      <c r="B69" s="203">
        <v>7150.315</v>
      </c>
      <c r="C69" s="173">
        <v>7883.088</v>
      </c>
      <c r="D69" s="173">
        <v>8634.132</v>
      </c>
      <c r="E69" s="173">
        <v>9776.185</v>
      </c>
      <c r="F69" s="173">
        <v>10652.466</v>
      </c>
      <c r="G69" s="173">
        <v>10852.432</v>
      </c>
      <c r="H69" s="173">
        <v>11598.205</v>
      </c>
      <c r="I69" s="173">
        <v>12608.73</v>
      </c>
      <c r="J69" s="173">
        <v>13850.892</v>
      </c>
      <c r="K69" s="479">
        <v>15160</v>
      </c>
      <c r="L69" s="391"/>
      <c r="M69" s="391"/>
      <c r="N69" s="391"/>
      <c r="O69" s="391"/>
      <c r="P69" s="391"/>
      <c r="Q69" s="391"/>
      <c r="R69" s="746"/>
      <c r="S69" s="746"/>
      <c r="T69" s="746"/>
      <c r="U69" s="746"/>
      <c r="V69" s="746"/>
      <c r="W69" s="746"/>
      <c r="X69" s="746"/>
      <c r="Y69" s="747"/>
      <c r="Z69" s="133" t="s">
        <v>242</v>
      </c>
    </row>
    <row r="70" ht="15">
      <c r="A70" s="35"/>
    </row>
    <row r="71" spans="1:26" s="133" customFormat="1" ht="14.25" customHeight="1">
      <c r="A71" s="136" t="s">
        <v>118</v>
      </c>
      <c r="B71" s="149"/>
      <c r="C71" s="150">
        <v>3006</v>
      </c>
      <c r="D71" s="150"/>
      <c r="E71" s="150"/>
      <c r="F71" s="150">
        <v>3804</v>
      </c>
      <c r="G71" s="150"/>
      <c r="H71" s="150"/>
      <c r="I71" s="150">
        <v>5026.798</v>
      </c>
      <c r="J71" s="150"/>
      <c r="K71" s="176"/>
      <c r="L71" s="188"/>
      <c r="M71" s="188"/>
      <c r="N71" s="188"/>
      <c r="O71" s="188"/>
      <c r="P71" s="188"/>
      <c r="Q71" s="188"/>
      <c r="R71" s="188"/>
      <c r="S71" s="188"/>
      <c r="T71" s="188"/>
      <c r="U71" s="188"/>
      <c r="V71" s="188"/>
      <c r="W71" s="188"/>
      <c r="X71" s="188"/>
      <c r="Y71" s="189"/>
      <c r="Z71" s="1086" t="s">
        <v>229</v>
      </c>
    </row>
    <row r="72" spans="1:26" ht="15">
      <c r="A72" s="157" t="s">
        <v>115</v>
      </c>
      <c r="B72" s="158"/>
      <c r="C72" s="159">
        <f>C71*10^6/POP!C74</f>
        <v>172728.83985519738</v>
      </c>
      <c r="D72" s="159"/>
      <c r="E72" s="159"/>
      <c r="F72" s="159">
        <f>F71*10^6/POP!F74</f>
        <v>206156.51419900282</v>
      </c>
      <c r="G72" s="159"/>
      <c r="H72" s="159"/>
      <c r="I72" s="159">
        <f>I71*10^6/POP!I74</f>
        <v>234612.06011388035</v>
      </c>
      <c r="J72" s="159"/>
      <c r="K72" s="190"/>
      <c r="L72" s="160"/>
      <c r="M72" s="160"/>
      <c r="N72" s="160"/>
      <c r="O72" s="160"/>
      <c r="P72" s="160"/>
      <c r="Q72" s="160"/>
      <c r="R72" s="160"/>
      <c r="S72" s="160"/>
      <c r="T72" s="160"/>
      <c r="U72" s="160"/>
      <c r="V72" s="160"/>
      <c r="W72" s="160"/>
      <c r="X72" s="160"/>
      <c r="Y72" s="161"/>
      <c r="Z72" s="1086"/>
    </row>
    <row r="73" spans="1:26" s="133" customFormat="1" ht="15">
      <c r="A73" s="153" t="s">
        <v>117</v>
      </c>
      <c r="B73" s="192"/>
      <c r="C73" s="162">
        <v>2561</v>
      </c>
      <c r="D73" s="162"/>
      <c r="E73" s="162"/>
      <c r="F73" s="162">
        <v>3239</v>
      </c>
      <c r="G73" s="162"/>
      <c r="H73" s="162"/>
      <c r="I73" s="162">
        <v>4125.312</v>
      </c>
      <c r="J73" s="162"/>
      <c r="K73" s="200"/>
      <c r="L73" s="201"/>
      <c r="M73" s="201"/>
      <c r="N73" s="201"/>
      <c r="O73" s="201"/>
      <c r="P73" s="201"/>
      <c r="Q73" s="201"/>
      <c r="R73" s="201"/>
      <c r="S73" s="201"/>
      <c r="T73" s="201"/>
      <c r="U73" s="201"/>
      <c r="V73" s="201"/>
      <c r="W73" s="201"/>
      <c r="X73" s="201"/>
      <c r="Y73" s="202"/>
      <c r="Z73" s="1086"/>
    </row>
    <row r="74" spans="1:26" ht="15">
      <c r="A74" s="153" t="s">
        <v>116</v>
      </c>
      <c r="B74" s="158"/>
      <c r="C74" s="159">
        <f>C73*10^6/POP!C74</f>
        <v>147158.5358846176</v>
      </c>
      <c r="D74" s="159"/>
      <c r="E74" s="159"/>
      <c r="F74" s="159">
        <f>F73*10^6/POP!F74</f>
        <v>175536.52720572296</v>
      </c>
      <c r="G74" s="159"/>
      <c r="H74" s="159"/>
      <c r="I74" s="159">
        <f>I73*10^6/POP!I74</f>
        <v>192537.66451974236</v>
      </c>
      <c r="J74" s="159"/>
      <c r="K74" s="190"/>
      <c r="L74" s="160"/>
      <c r="M74" s="160"/>
      <c r="N74" s="160"/>
      <c r="O74" s="160"/>
      <c r="P74" s="160"/>
      <c r="Q74" s="160"/>
      <c r="R74" s="160"/>
      <c r="S74" s="160"/>
      <c r="T74" s="160"/>
      <c r="U74" s="160"/>
      <c r="V74" s="160"/>
      <c r="W74" s="160"/>
      <c r="X74" s="160"/>
      <c r="Y74" s="161"/>
      <c r="Z74" s="1086"/>
    </row>
    <row r="75" spans="1:26" ht="15">
      <c r="A75" s="157"/>
      <c r="B75" s="170"/>
      <c r="C75" s="171"/>
      <c r="D75" s="171"/>
      <c r="E75" s="171"/>
      <c r="F75" s="171"/>
      <c r="G75" s="171"/>
      <c r="H75" s="171"/>
      <c r="I75" s="171"/>
      <c r="J75" s="171"/>
      <c r="K75" s="172"/>
      <c r="L75" s="171"/>
      <c r="M75" s="171"/>
      <c r="N75" s="171"/>
      <c r="O75" s="171"/>
      <c r="P75" s="171"/>
      <c r="Q75" s="171"/>
      <c r="R75" s="171"/>
      <c r="S75" s="171"/>
      <c r="T75" s="171"/>
      <c r="U75" s="171"/>
      <c r="V75" s="171"/>
      <c r="W75" s="171"/>
      <c r="X75" s="171"/>
      <c r="Y75" s="172"/>
      <c r="Z75" s="385"/>
    </row>
    <row r="76" spans="1:26" s="133" customFormat="1" ht="12.75" customHeight="1">
      <c r="A76" s="157" t="s">
        <v>244</v>
      </c>
      <c r="B76" s="192" t="s">
        <v>188</v>
      </c>
      <c r="C76" s="162"/>
      <c r="D76" s="162"/>
      <c r="E76" s="162"/>
      <c r="F76" s="473">
        <v>290.73</v>
      </c>
      <c r="G76" s="473">
        <v>306.53</v>
      </c>
      <c r="H76" s="473">
        <v>317.44</v>
      </c>
      <c r="I76" s="473">
        <v>333.82</v>
      </c>
      <c r="J76" s="473">
        <v>349.16</v>
      </c>
      <c r="K76" s="474">
        <v>367.35</v>
      </c>
      <c r="L76" s="475">
        <f>K76*(1+L77)</f>
        <v>379.08999744417156</v>
      </c>
      <c r="M76" s="475">
        <f aca="true" t="shared" si="33" ref="M76:R76">L76*(1+M77)</f>
        <v>404.0819153352671</v>
      </c>
      <c r="N76" s="475">
        <f t="shared" si="33"/>
        <v>436.032007228979</v>
      </c>
      <c r="O76" s="475">
        <f t="shared" si="33"/>
        <v>465.91849107379676</v>
      </c>
      <c r="P76" s="475">
        <f t="shared" si="33"/>
        <v>502.12150228996336</v>
      </c>
      <c r="Q76" s="475">
        <f t="shared" si="33"/>
        <v>537.6294608578277</v>
      </c>
      <c r="R76" s="475">
        <f t="shared" si="33"/>
        <v>575.7102720114127</v>
      </c>
      <c r="S76" s="475">
        <f>R76*(1+S77)</f>
        <v>616.5277894727335</v>
      </c>
      <c r="T76" s="475">
        <f aca="true" t="shared" si="34" ref="T76:Y76">S76*(1+T77)</f>
        <v>660.334571394244</v>
      </c>
      <c r="U76" s="475">
        <f t="shared" si="34"/>
        <v>707.5180825611138</v>
      </c>
      <c r="V76" s="475">
        <f t="shared" si="34"/>
        <v>758.4580793100566</v>
      </c>
      <c r="W76" s="475">
        <f t="shared" si="34"/>
        <v>813.3893752807604</v>
      </c>
      <c r="X76" s="475">
        <f t="shared" si="34"/>
        <v>872.7114360570877</v>
      </c>
      <c r="Y76" s="475">
        <f t="shared" si="34"/>
        <v>936.7557151691101</v>
      </c>
      <c r="Z76" s="1095" t="s">
        <v>479</v>
      </c>
    </row>
    <row r="77" spans="1:26" s="133" customFormat="1" ht="15">
      <c r="A77" s="153" t="s">
        <v>245</v>
      </c>
      <c r="B77" s="192"/>
      <c r="C77" s="162"/>
      <c r="D77" s="162"/>
      <c r="E77" s="162"/>
      <c r="F77" s="530"/>
      <c r="G77" s="363">
        <f>G76/F76-1</f>
        <v>0.0543459567296114</v>
      </c>
      <c r="H77" s="363">
        <f>H76/G76-1</f>
        <v>0.03559194858578296</v>
      </c>
      <c r="I77" s="363">
        <f>I76/H76-1</f>
        <v>0.05160030241935476</v>
      </c>
      <c r="J77" s="363">
        <f>J76/I76-1</f>
        <v>0.045952908753220445</v>
      </c>
      <c r="K77" s="476">
        <f>K76/J76-1</f>
        <v>0.052096460075609974</v>
      </c>
      <c r="L77" s="364">
        <f aca="true" t="shared" si="35" ref="L77:Y77">L10+L13</f>
        <v>0.03195861560955897</v>
      </c>
      <c r="M77" s="364">
        <f t="shared" si="35"/>
        <v>0.06592608103508753</v>
      </c>
      <c r="N77" s="364">
        <f t="shared" si="35"/>
        <v>0.07906835391829609</v>
      </c>
      <c r="O77" s="364">
        <f t="shared" si="35"/>
        <v>0.06854194955721019</v>
      </c>
      <c r="P77" s="364">
        <f t="shared" si="35"/>
        <v>0.07770245635181813</v>
      </c>
      <c r="Q77" s="364">
        <f t="shared" si="35"/>
        <v>0.0707158693780838</v>
      </c>
      <c r="R77" s="364">
        <f t="shared" si="35"/>
        <v>0.07083096058914694</v>
      </c>
      <c r="S77" s="364">
        <f t="shared" si="35"/>
        <v>0.0708994079933867</v>
      </c>
      <c r="T77" s="364">
        <f t="shared" si="35"/>
        <v>0.07105402654919228</v>
      </c>
      <c r="U77" s="364">
        <f t="shared" si="35"/>
        <v>0.07145394654598455</v>
      </c>
      <c r="V77" s="364">
        <f t="shared" si="35"/>
        <v>0.07199815524791592</v>
      </c>
      <c r="W77" s="364">
        <f t="shared" si="35"/>
        <v>0.07242495988792552</v>
      </c>
      <c r="X77" s="364">
        <f t="shared" si="35"/>
        <v>0.07293193466640865</v>
      </c>
      <c r="Y77" s="364">
        <f t="shared" si="35"/>
        <v>0.07338540148090028</v>
      </c>
      <c r="Z77" s="1095"/>
    </row>
    <row r="78" spans="1:25" ht="15">
      <c r="A78" s="111"/>
      <c r="B78" s="111"/>
      <c r="C78" s="41"/>
      <c r="D78" s="41"/>
      <c r="E78" s="41"/>
      <c r="F78" s="41"/>
      <c r="G78" s="41"/>
      <c r="H78" s="41"/>
      <c r="I78" s="41"/>
      <c r="J78" s="41"/>
      <c r="K78" s="39"/>
      <c r="L78" s="41"/>
      <c r="M78" s="41"/>
      <c r="N78" s="41"/>
      <c r="O78" s="41"/>
      <c r="P78" s="41"/>
      <c r="Q78" s="41"/>
      <c r="R78" s="41"/>
      <c r="S78" s="41"/>
      <c r="T78" s="41"/>
      <c r="U78" s="41"/>
      <c r="V78" s="41"/>
      <c r="W78" s="41"/>
      <c r="X78" s="41"/>
      <c r="Y78" s="42"/>
    </row>
    <row r="79" spans="1:26" ht="15">
      <c r="A79" s="276" t="s">
        <v>293</v>
      </c>
      <c r="B79" s="386"/>
      <c r="C79" s="387"/>
      <c r="D79" s="387"/>
      <c r="E79" s="387"/>
      <c r="F79" s="387"/>
      <c r="G79" s="387"/>
      <c r="H79" s="387"/>
      <c r="I79" s="387"/>
      <c r="J79" s="387"/>
      <c r="K79" s="388">
        <v>205</v>
      </c>
      <c r="L79" s="389">
        <v>210</v>
      </c>
      <c r="M79" s="389">
        <f aca="true" t="shared" si="36" ref="M79:S79">L79*(1+M$77)</f>
        <v>223.84447701736838</v>
      </c>
      <c r="N79" s="389">
        <f t="shared" si="36"/>
        <v>241.54349134883356</v>
      </c>
      <c r="O79" s="389">
        <f t="shared" si="36"/>
        <v>258.09935314873775</v>
      </c>
      <c r="P79" s="389">
        <f t="shared" si="36"/>
        <v>278.15430687121</v>
      </c>
      <c r="Q79" s="389">
        <f t="shared" si="36"/>
        <v>297.82423050286593</v>
      </c>
      <c r="R79" s="389">
        <f t="shared" si="36"/>
        <v>318.9194068361074</v>
      </c>
      <c r="S79" s="389">
        <f t="shared" si="36"/>
        <v>341.5306039783894</v>
      </c>
      <c r="T79" s="389">
        <f aca="true" t="shared" si="37" ref="T79:Y79">S79*(1+T$77)</f>
        <v>365.79772858083163</v>
      </c>
      <c r="U79" s="389">
        <f t="shared" si="37"/>
        <v>391.93541992548893</v>
      </c>
      <c r="V79" s="389">
        <f t="shared" si="37"/>
        <v>420.15404713644136</v>
      </c>
      <c r="W79" s="389">
        <f t="shared" si="37"/>
        <v>450.58368714704767</v>
      </c>
      <c r="X79" s="389">
        <f t="shared" si="37"/>
        <v>483.4456271798056</v>
      </c>
      <c r="Y79" s="389">
        <f t="shared" si="37"/>
        <v>518.9234786245813</v>
      </c>
      <c r="Z79" s="1087" t="s">
        <v>299</v>
      </c>
    </row>
    <row r="80" spans="1:26" ht="15">
      <c r="A80" s="276" t="s">
        <v>292</v>
      </c>
      <c r="B80" s="386"/>
      <c r="C80" s="387"/>
      <c r="D80" s="387"/>
      <c r="E80" s="387"/>
      <c r="F80" s="387"/>
      <c r="G80" s="387"/>
      <c r="H80" s="387"/>
      <c r="I80" s="387"/>
      <c r="J80" s="387"/>
      <c r="K80" s="388">
        <v>466</v>
      </c>
      <c r="L80" s="389">
        <v>481</v>
      </c>
      <c r="M80" s="389">
        <f>L80*(1+M$77)</f>
        <v>512.710444977877</v>
      </c>
      <c r="N80" s="389">
        <f aca="true" t="shared" si="38" ref="N80:R81">M80*(1+N$77)</f>
        <v>553.2496158989949</v>
      </c>
      <c r="O80" s="389">
        <f t="shared" si="38"/>
        <v>591.1704231644896</v>
      </c>
      <c r="P80" s="389">
        <f t="shared" si="38"/>
        <v>637.1058171669142</v>
      </c>
      <c r="Q80" s="389">
        <f t="shared" si="38"/>
        <v>682.159308913707</v>
      </c>
      <c r="R80" s="389">
        <f t="shared" si="38"/>
        <v>730.4773080388935</v>
      </c>
      <c r="S80" s="389">
        <f>R80*(1+S$77)</f>
        <v>782.2677167314538</v>
      </c>
      <c r="T80" s="389">
        <f aca="true" t="shared" si="39" ref="T80:Y80">S80*(1+T$77)</f>
        <v>837.8509878446666</v>
      </c>
      <c r="U80" s="389">
        <f t="shared" si="39"/>
        <v>897.7187475436198</v>
      </c>
      <c r="V80" s="389">
        <f t="shared" si="39"/>
        <v>962.3528412982299</v>
      </c>
      <c r="W80" s="389">
        <f t="shared" si="39"/>
        <v>1032.0512072272852</v>
      </c>
      <c r="X80" s="389">
        <f t="shared" si="39"/>
        <v>1107.3206984451735</v>
      </c>
      <c r="Y80" s="389">
        <f t="shared" si="39"/>
        <v>1188.5818724686835</v>
      </c>
      <c r="Z80" s="1087"/>
    </row>
    <row r="81" spans="1:26" ht="15">
      <c r="A81" s="276" t="s">
        <v>312</v>
      </c>
      <c r="B81" s="386"/>
      <c r="C81" s="387"/>
      <c r="D81" s="387"/>
      <c r="E81" s="387"/>
      <c r="F81" s="387"/>
      <c r="G81" s="387"/>
      <c r="H81" s="387"/>
      <c r="I81" s="387"/>
      <c r="J81" s="387"/>
      <c r="K81" s="388"/>
      <c r="L81" s="389">
        <v>220</v>
      </c>
      <c r="M81" s="389">
        <f>L81*(1+M$77)</f>
        <v>234.50373782771925</v>
      </c>
      <c r="N81" s="389">
        <f t="shared" si="38"/>
        <v>253.04556236544468</v>
      </c>
      <c r="O81" s="389">
        <f t="shared" si="38"/>
        <v>270.38979853677284</v>
      </c>
      <c r="P81" s="389">
        <f t="shared" si="38"/>
        <v>291.3997500555533</v>
      </c>
      <c r="Q81" s="389">
        <f t="shared" si="38"/>
        <v>312.0063367172881</v>
      </c>
      <c r="R81" s="389">
        <f t="shared" si="38"/>
        <v>334.1060452568744</v>
      </c>
      <c r="S81" s="389">
        <f>R81*(1+S$77)</f>
        <v>357.79396607259844</v>
      </c>
      <c r="T81" s="389">
        <f aca="true" t="shared" si="40" ref="T81:Y81">S81*(1+T$77)</f>
        <v>383.21666803706165</v>
      </c>
      <c r="U81" s="389">
        <f t="shared" si="40"/>
        <v>410.5990113505121</v>
      </c>
      <c r="V81" s="389">
        <f t="shared" si="40"/>
        <v>440.16138271436705</v>
      </c>
      <c r="W81" s="389">
        <f t="shared" si="40"/>
        <v>472.04005320166885</v>
      </c>
      <c r="X81" s="389">
        <f t="shared" si="40"/>
        <v>506.46684752170097</v>
      </c>
      <c r="Y81" s="961">
        <f t="shared" si="40"/>
        <v>543.6341204638469</v>
      </c>
      <c r="Z81" s="513"/>
    </row>
    <row r="82" spans="1:26" ht="15">
      <c r="A82" s="276" t="s">
        <v>313</v>
      </c>
      <c r="B82" s="386"/>
      <c r="C82" s="387"/>
      <c r="D82" s="387"/>
      <c r="E82" s="387"/>
      <c r="F82" s="387"/>
      <c r="G82" s="387"/>
      <c r="H82" s="387"/>
      <c r="I82" s="387"/>
      <c r="J82" s="387"/>
      <c r="K82" s="388"/>
      <c r="L82" s="389">
        <v>444</v>
      </c>
      <c r="M82" s="389">
        <f>L82*(1+M$77)</f>
        <v>473.27117997957885</v>
      </c>
      <c r="N82" s="389">
        <f>M82*(1+N$77)</f>
        <v>510.6919531375338</v>
      </c>
      <c r="O82" s="389">
        <f>N82*(1+O$77)</f>
        <v>545.6957752287598</v>
      </c>
      <c r="P82" s="389">
        <f>O82*(1+P$77)</f>
        <v>588.097677384844</v>
      </c>
      <c r="Q82" s="389">
        <f>P82*(1+Q$77)</f>
        <v>629.6855159203451</v>
      </c>
      <c r="R82" s="389">
        <f>Q82*(1+R$77)</f>
        <v>674.2867458820557</v>
      </c>
      <c r="S82" s="389">
        <f>R82*(1+S$77)</f>
        <v>722.0932769828806</v>
      </c>
      <c r="T82" s="389">
        <f aca="true" t="shared" si="41" ref="T82:Y82">S82*(1+T$77)</f>
        <v>773.4009118566155</v>
      </c>
      <c r="U82" s="389">
        <f t="shared" si="41"/>
        <v>828.6634592710337</v>
      </c>
      <c r="V82" s="389">
        <f t="shared" si="41"/>
        <v>888.3256996599047</v>
      </c>
      <c r="W82" s="389">
        <f t="shared" si="41"/>
        <v>952.6626528251866</v>
      </c>
      <c r="X82" s="389">
        <f t="shared" si="41"/>
        <v>1022.1421831801606</v>
      </c>
      <c r="Y82" s="961">
        <f t="shared" si="41"/>
        <v>1097.1524976634007</v>
      </c>
      <c r="Z82" s="737"/>
    </row>
    <row r="83" spans="1:26" ht="15">
      <c r="A83" s="276"/>
      <c r="B83" s="386"/>
      <c r="C83" s="387"/>
      <c r="D83" s="387"/>
      <c r="E83" s="387"/>
      <c r="F83" s="387"/>
      <c r="G83" s="387"/>
      <c r="H83" s="387"/>
      <c r="I83" s="387"/>
      <c r="J83" s="387"/>
      <c r="K83" s="388"/>
      <c r="L83" s="389"/>
      <c r="M83" s="389"/>
      <c r="N83" s="389"/>
      <c r="O83" s="389"/>
      <c r="P83" s="389"/>
      <c r="Q83" s="389"/>
      <c r="R83" s="389"/>
      <c r="S83" s="389"/>
      <c r="T83" s="389"/>
      <c r="U83" s="389"/>
      <c r="V83" s="389"/>
      <c r="W83" s="389"/>
      <c r="X83" s="389"/>
      <c r="Y83" s="601"/>
      <c r="Z83" s="737"/>
    </row>
    <row r="84" spans="1:26" ht="13.5" customHeight="1">
      <c r="A84" s="602" t="s">
        <v>446</v>
      </c>
      <c r="B84" s="206"/>
      <c r="C84" s="207">
        <v>26688.7</v>
      </c>
      <c r="D84" s="207">
        <f>C84*(1+4.8%)</f>
        <v>27969.7576</v>
      </c>
      <c r="E84" s="207">
        <f aca="true" t="shared" si="42" ref="E84:R84">D84*(1+4.8%)</f>
        <v>29312.3059648</v>
      </c>
      <c r="F84" s="207">
        <f t="shared" si="42"/>
        <v>30719.296651110402</v>
      </c>
      <c r="G84" s="207">
        <f t="shared" si="42"/>
        <v>32193.822890363703</v>
      </c>
      <c r="H84" s="207">
        <f t="shared" si="42"/>
        <v>33739.12638910116</v>
      </c>
      <c r="I84" s="207">
        <f t="shared" si="42"/>
        <v>35358.60445577802</v>
      </c>
      <c r="J84" s="207">
        <f t="shared" si="42"/>
        <v>37055.81746965537</v>
      </c>
      <c r="K84" s="751">
        <f t="shared" si="42"/>
        <v>38834.49670819883</v>
      </c>
      <c r="L84" s="752">
        <f t="shared" si="42"/>
        <v>40698.55255019238</v>
      </c>
      <c r="M84" s="96">
        <f t="shared" si="42"/>
        <v>42652.083072601614</v>
      </c>
      <c r="N84" s="96">
        <f t="shared" si="42"/>
        <v>44699.3830600865</v>
      </c>
      <c r="O84" s="96">
        <f t="shared" si="42"/>
        <v>46844.95344697065</v>
      </c>
      <c r="P84" s="96">
        <f t="shared" si="42"/>
        <v>49093.51121242524</v>
      </c>
      <c r="Q84" s="96">
        <f t="shared" si="42"/>
        <v>51449.99975062165</v>
      </c>
      <c r="R84" s="96">
        <f t="shared" si="42"/>
        <v>53919.599738651494</v>
      </c>
      <c r="S84" s="96">
        <f>R84*(1+4.8%)</f>
        <v>56507.74052610677</v>
      </c>
      <c r="T84" s="96">
        <f aca="true" t="shared" si="43" ref="T84:Y84">S84*(1+4.8%)</f>
        <v>59220.112071359894</v>
      </c>
      <c r="U84" s="96">
        <f t="shared" si="43"/>
        <v>62062.67745078517</v>
      </c>
      <c r="V84" s="96">
        <f t="shared" si="43"/>
        <v>65041.68596842286</v>
      </c>
      <c r="W84" s="96">
        <f t="shared" si="43"/>
        <v>68163.68689490716</v>
      </c>
      <c r="X84" s="96">
        <f t="shared" si="43"/>
        <v>71435.54386586271</v>
      </c>
      <c r="Y84" s="962">
        <f t="shared" si="43"/>
        <v>74864.44997142412</v>
      </c>
      <c r="Z84" s="1088" t="s">
        <v>427</v>
      </c>
    </row>
    <row r="85" spans="1:26" ht="15">
      <c r="A85" s="35"/>
      <c r="Z85" s="1088"/>
    </row>
    <row r="86" ht="15">
      <c r="Z86" s="1088"/>
    </row>
    <row r="87" ht="15">
      <c r="A87" s="565"/>
    </row>
    <row r="88" ht="15">
      <c r="A88" s="35"/>
    </row>
    <row r="89" spans="1:25" ht="15">
      <c r="A89" s="35"/>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row>
    <row r="90" spans="1:25" ht="15">
      <c r="A90" s="35"/>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row>
    <row r="91" spans="1:25" ht="15">
      <c r="A91" s="35"/>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row>
    <row r="92" spans="1:25" ht="15">
      <c r="A92" s="35"/>
      <c r="B92" s="657"/>
      <c r="C92" s="657"/>
      <c r="D92" s="657"/>
      <c r="E92" s="657"/>
      <c r="F92" s="657"/>
      <c r="G92" s="657"/>
      <c r="H92" s="657"/>
      <c r="I92" s="657"/>
      <c r="J92" s="657"/>
      <c r="K92" s="657"/>
      <c r="L92" s="657"/>
      <c r="M92" s="657"/>
      <c r="N92" s="657"/>
      <c r="O92" s="657"/>
      <c r="P92" s="657"/>
      <c r="Q92" s="657"/>
      <c r="R92" s="657"/>
      <c r="S92" s="657"/>
      <c r="T92" s="657"/>
      <c r="U92" s="657"/>
      <c r="V92" s="657"/>
      <c r="W92" s="657"/>
      <c r="X92" s="657"/>
      <c r="Y92" s="657"/>
    </row>
    <row r="93" spans="1:25" ht="15">
      <c r="A93" s="3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ht="15">
      <c r="A94" s="35"/>
    </row>
    <row r="98" ht="15">
      <c r="A98" s="35"/>
    </row>
    <row r="99" ht="15">
      <c r="A99" s="35"/>
    </row>
  </sheetData>
  <mergeCells count="16">
    <mergeCell ref="Z84:Z86"/>
    <mergeCell ref="Z79:Z80"/>
    <mergeCell ref="Z71:Z74"/>
    <mergeCell ref="Z76:Z77"/>
    <mergeCell ref="P4:Q4"/>
    <mergeCell ref="Z12:Z13"/>
    <mergeCell ref="Z9:Z10"/>
    <mergeCell ref="Z64:Z68"/>
    <mergeCell ref="Z15:Z20"/>
    <mergeCell ref="Z55:Z56"/>
    <mergeCell ref="P5:Q5"/>
    <mergeCell ref="Z44:Z53"/>
    <mergeCell ref="Z39:Z41"/>
    <mergeCell ref="Z42:Z43"/>
    <mergeCell ref="Z58:Z62"/>
    <mergeCell ref="Z21:Z38"/>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AH71"/>
  <sheetViews>
    <sheetView zoomScale="90" zoomScaleNormal="90" workbookViewId="0" topLeftCell="A1">
      <pane ySplit="8" topLeftCell="A9" activePane="bottomLeft" state="frozen"/>
      <selection pane="bottomLeft" activeCell="O24" sqref="O24"/>
    </sheetView>
  </sheetViews>
  <sheetFormatPr defaultColWidth="8.8515625" defaultRowHeight="15"/>
  <cols>
    <col min="1" max="1" width="40.7109375" style="211" customWidth="1"/>
    <col min="2" max="25" width="8.8515625" style="211" customWidth="1"/>
    <col min="26" max="26" width="57.28125" style="211" customWidth="1"/>
    <col min="27" max="38" width="8.8515625" style="211" customWidth="1"/>
    <col min="39" max="16384" width="8.8515625" style="211" customWidth="1"/>
  </cols>
  <sheetData>
    <row r="1" spans="1:26" ht="18">
      <c r="A1" s="224" t="s">
        <v>125</v>
      </c>
      <c r="B1" s="209"/>
      <c r="C1" s="209"/>
      <c r="D1" s="209"/>
      <c r="E1" s="209"/>
      <c r="F1" s="210"/>
      <c r="G1" s="210"/>
      <c r="H1" s="210"/>
      <c r="I1" s="210"/>
      <c r="J1" s="210"/>
      <c r="K1" s="210"/>
      <c r="L1" s="210"/>
      <c r="M1" s="210"/>
      <c r="N1" s="210"/>
      <c r="O1" s="210"/>
      <c r="P1" s="210"/>
      <c r="Q1" s="210"/>
      <c r="R1" s="210"/>
      <c r="S1" s="210"/>
      <c r="T1" s="210"/>
      <c r="U1" s="210"/>
      <c r="V1" s="210"/>
      <c r="W1" s="210"/>
      <c r="X1" s="210"/>
      <c r="Y1" s="210"/>
      <c r="Z1" s="181"/>
    </row>
    <row r="2" spans="1:26" ht="15">
      <c r="A2" s="210"/>
      <c r="B2" s="210"/>
      <c r="C2" s="210"/>
      <c r="D2" s="212"/>
      <c r="E2" s="212"/>
      <c r="F2" s="212"/>
      <c r="G2" s="212"/>
      <c r="H2" s="212"/>
      <c r="I2" s="212"/>
      <c r="J2" s="212"/>
      <c r="K2" s="212"/>
      <c r="L2" s="212"/>
      <c r="M2" s="212"/>
      <c r="N2" s="212"/>
      <c r="O2" s="77" t="s">
        <v>23</v>
      </c>
      <c r="P2" s="114"/>
      <c r="Q2" s="79" t="str">
        <f>README!I6</f>
        <v>1.1</v>
      </c>
      <c r="R2" s="79"/>
      <c r="S2" s="79"/>
      <c r="T2" s="79"/>
      <c r="U2" s="79"/>
      <c r="V2" s="79"/>
      <c r="W2" s="79"/>
      <c r="X2" s="79"/>
      <c r="Y2" s="79"/>
      <c r="Z2" s="181"/>
    </row>
    <row r="3" spans="1:26" ht="15">
      <c r="A3" s="210"/>
      <c r="B3" s="210"/>
      <c r="C3" s="210"/>
      <c r="D3" s="212"/>
      <c r="E3" s="212"/>
      <c r="F3" s="212"/>
      <c r="G3" s="212"/>
      <c r="H3" s="212"/>
      <c r="I3" s="212"/>
      <c r="J3" s="212"/>
      <c r="K3" s="212"/>
      <c r="L3" s="212"/>
      <c r="M3" s="212"/>
      <c r="N3" s="212"/>
      <c r="O3" s="77" t="s">
        <v>19</v>
      </c>
      <c r="P3" s="114"/>
      <c r="Q3" s="79" t="str">
        <f>README!I7</f>
        <v>Philippines</v>
      </c>
      <c r="R3" s="79"/>
      <c r="S3" s="79"/>
      <c r="T3" s="79"/>
      <c r="U3" s="79"/>
      <c r="V3" s="79"/>
      <c r="W3" s="79"/>
      <c r="X3" s="79"/>
      <c r="Y3" s="79"/>
      <c r="Z3" s="181"/>
    </row>
    <row r="4" spans="1:26" ht="15">
      <c r="A4" s="210"/>
      <c r="B4" s="210"/>
      <c r="C4" s="210"/>
      <c r="D4" s="212"/>
      <c r="E4" s="212"/>
      <c r="F4" s="212"/>
      <c r="G4" s="212"/>
      <c r="H4" s="212"/>
      <c r="I4" s="212"/>
      <c r="J4" s="212"/>
      <c r="K4" s="212"/>
      <c r="L4" s="212"/>
      <c r="M4" s="212"/>
      <c r="N4" s="212"/>
      <c r="O4" s="77" t="s">
        <v>24</v>
      </c>
      <c r="P4" s="1089">
        <f>README!H8</f>
        <v>41899</v>
      </c>
      <c r="Q4" s="1089"/>
      <c r="R4" s="498"/>
      <c r="S4" s="911"/>
      <c r="T4" s="911"/>
      <c r="U4" s="911"/>
      <c r="V4" s="911"/>
      <c r="W4" s="911"/>
      <c r="X4" s="911"/>
      <c r="Y4" s="911"/>
      <c r="Z4" s="181"/>
    </row>
    <row r="5" spans="1:26" ht="15">
      <c r="A5" s="210"/>
      <c r="B5" s="210"/>
      <c r="C5" s="210"/>
      <c r="D5" s="212"/>
      <c r="E5" s="212"/>
      <c r="F5" s="212"/>
      <c r="G5" s="212"/>
      <c r="H5" s="212"/>
      <c r="I5" s="212"/>
      <c r="J5" s="212"/>
      <c r="K5" s="212"/>
      <c r="L5" s="212"/>
      <c r="M5" s="212"/>
      <c r="N5" s="212"/>
      <c r="O5" s="77" t="s">
        <v>15</v>
      </c>
      <c r="P5" s="1089">
        <f>README!H9</f>
        <v>42394</v>
      </c>
      <c r="Q5" s="1089"/>
      <c r="R5" s="498"/>
      <c r="S5" s="911"/>
      <c r="T5" s="911"/>
      <c r="U5" s="911"/>
      <c r="V5" s="911"/>
      <c r="W5" s="911"/>
      <c r="X5" s="911"/>
      <c r="Y5" s="911"/>
      <c r="Z5" s="181"/>
    </row>
    <row r="6" spans="1:26" ht="15">
      <c r="A6" s="210"/>
      <c r="B6" s="210"/>
      <c r="C6" s="210"/>
      <c r="D6" s="212"/>
      <c r="E6" s="212"/>
      <c r="F6" s="212"/>
      <c r="G6" s="212"/>
      <c r="H6" s="212"/>
      <c r="I6" s="212"/>
      <c r="J6" s="212"/>
      <c r="K6" s="212"/>
      <c r="L6" s="212"/>
      <c r="M6" s="212"/>
      <c r="N6" s="212"/>
      <c r="O6" s="77" t="s">
        <v>16</v>
      </c>
      <c r="P6" s="114"/>
      <c r="Q6" s="79" t="str">
        <f>README!I10</f>
        <v>Core Group</v>
      </c>
      <c r="R6" s="79"/>
      <c r="S6" s="79"/>
      <c r="T6" s="79"/>
      <c r="U6" s="79"/>
      <c r="V6" s="79"/>
      <c r="W6" s="79"/>
      <c r="X6" s="79"/>
      <c r="Y6" s="79"/>
      <c r="Z6" s="181"/>
    </row>
    <row r="7" spans="1:26"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181"/>
    </row>
    <row r="8" spans="1:26" ht="15">
      <c r="A8" s="25" t="s">
        <v>76</v>
      </c>
      <c r="B8" s="127">
        <v>2005</v>
      </c>
      <c r="C8" s="82">
        <v>2006</v>
      </c>
      <c r="D8" s="82">
        <v>2007</v>
      </c>
      <c r="E8" s="82">
        <v>2008</v>
      </c>
      <c r="F8" s="82">
        <v>2009</v>
      </c>
      <c r="G8" s="82">
        <v>2010</v>
      </c>
      <c r="H8" s="82">
        <v>2011</v>
      </c>
      <c r="I8" s="127">
        <v>2012</v>
      </c>
      <c r="J8" s="82">
        <v>2013</v>
      </c>
      <c r="K8" s="82">
        <v>2014</v>
      </c>
      <c r="L8" s="82">
        <v>2015</v>
      </c>
      <c r="M8" s="82">
        <v>2016</v>
      </c>
      <c r="N8" s="82">
        <v>2017</v>
      </c>
      <c r="O8" s="82">
        <v>2018</v>
      </c>
      <c r="P8" s="82">
        <v>2019</v>
      </c>
      <c r="Q8" s="82">
        <v>2020</v>
      </c>
      <c r="R8" s="82">
        <v>2021</v>
      </c>
      <c r="S8" s="82">
        <v>2022</v>
      </c>
      <c r="T8" s="82">
        <v>2023</v>
      </c>
      <c r="U8" s="82">
        <v>2024</v>
      </c>
      <c r="V8" s="82">
        <v>2025</v>
      </c>
      <c r="W8" s="82">
        <v>2026</v>
      </c>
      <c r="X8" s="82">
        <v>2027</v>
      </c>
      <c r="Y8" s="82">
        <v>2028</v>
      </c>
      <c r="Z8" s="27" t="s">
        <v>77</v>
      </c>
    </row>
    <row r="9" spans="1:26" ht="15">
      <c r="A9" s="297" t="s">
        <v>214</v>
      </c>
      <c r="B9" s="181"/>
      <c r="C9" s="181"/>
      <c r="D9" s="181"/>
      <c r="E9" s="181"/>
      <c r="F9" s="181"/>
      <c r="G9" s="181"/>
      <c r="H9" s="221"/>
      <c r="I9" s="181"/>
      <c r="J9" s="222"/>
      <c r="K9" s="222"/>
      <c r="L9" s="222"/>
      <c r="M9" s="222"/>
      <c r="N9" s="222"/>
      <c r="O9" s="222"/>
      <c r="P9" s="222"/>
      <c r="Q9" s="222"/>
      <c r="R9" s="222"/>
      <c r="S9" s="222"/>
      <c r="T9" s="222"/>
      <c r="U9" s="222"/>
      <c r="V9" s="222"/>
      <c r="W9" s="222"/>
      <c r="X9" s="222"/>
      <c r="Y9" s="222"/>
      <c r="Z9" s="181"/>
    </row>
    <row r="10" spans="1:26" ht="14.25" customHeight="1">
      <c r="A10" s="347" t="s">
        <v>199</v>
      </c>
      <c r="B10" s="523">
        <v>705.615</v>
      </c>
      <c r="C10" s="524">
        <v>859.857</v>
      </c>
      <c r="D10" s="482">
        <v>932.937</v>
      </c>
      <c r="E10" s="284">
        <v>1049.189</v>
      </c>
      <c r="F10" s="482">
        <v>981.631</v>
      </c>
      <c r="G10" s="482">
        <v>1093.643</v>
      </c>
      <c r="H10" s="482">
        <v>1202.066</v>
      </c>
      <c r="I10" s="482">
        <v>1361.081</v>
      </c>
      <c r="J10" s="482">
        <v>1535.698</v>
      </c>
      <c r="K10" s="435">
        <v>1718.986</v>
      </c>
      <c r="L10" s="437">
        <f>L29*ECO!L$66</f>
        <v>1899.0887906452206</v>
      </c>
      <c r="M10" s="437">
        <f>M29*ECO!M$66</f>
        <v>2101.82635523612</v>
      </c>
      <c r="N10" s="437">
        <f>N29*ECO!N$66</f>
        <v>2339.9335267610754</v>
      </c>
      <c r="O10" s="437">
        <f>O29*ECO!O$66</f>
        <v>2605.6495415418703</v>
      </c>
      <c r="P10" s="437">
        <f>P29*ECO!P$66</f>
        <v>2898.410410569732</v>
      </c>
      <c r="Q10" s="437">
        <f>Q29*ECO!Q$66</f>
        <v>3219.902693518803</v>
      </c>
      <c r="R10" s="437">
        <f>R29*ECO!R$66</f>
        <v>3452.9841710386895</v>
      </c>
      <c r="S10" s="437">
        <f>S29*ECO!S$66</f>
        <v>3702.4437761642953</v>
      </c>
      <c r="T10" s="437">
        <f>T29*ECO!T$66</f>
        <v>3969.4077908892336</v>
      </c>
      <c r="U10" s="437">
        <f>U29*ECO!U$66</f>
        <v>4255.078689786974</v>
      </c>
      <c r="V10" s="437">
        <f>V29*ECO!V$66</f>
        <v>4560.740228505241</v>
      </c>
      <c r="W10" s="437">
        <f>W29*ECO!W$66</f>
        <v>4887.762868586467</v>
      </c>
      <c r="X10" s="437">
        <f>X29*ECO!X$66</f>
        <v>5237.6095606548215</v>
      </c>
      <c r="Y10" s="437">
        <f>Y29*ECO!Y$66</f>
        <v>5611.841909444472</v>
      </c>
      <c r="Z10" s="1096" t="s">
        <v>429</v>
      </c>
    </row>
    <row r="11" spans="1:26" ht="15">
      <c r="A11" s="348" t="s">
        <v>296</v>
      </c>
      <c r="B11" s="525">
        <v>110.456</v>
      </c>
      <c r="C11" s="526">
        <v>119.598</v>
      </c>
      <c r="D11" s="483">
        <v>203.473</v>
      </c>
      <c r="E11" s="285">
        <v>153.591</v>
      </c>
      <c r="F11" s="483">
        <v>141.389</v>
      </c>
      <c r="G11" s="483">
        <v>113.877</v>
      </c>
      <c r="H11" s="483">
        <v>157.621</v>
      </c>
      <c r="I11" s="483">
        <v>173.752</v>
      </c>
      <c r="J11" s="483">
        <v>180.074</v>
      </c>
      <c r="K11" s="436">
        <v>189.308</v>
      </c>
      <c r="L11" s="438">
        <f>L30*ECO!L$66</f>
        <v>206.54647578470792</v>
      </c>
      <c r="M11" s="438">
        <f>M30*ECO!M$66</f>
        <v>225.79387296153234</v>
      </c>
      <c r="N11" s="438">
        <f>N30*ECO!N$66</f>
        <v>248.32870230299193</v>
      </c>
      <c r="O11" s="438">
        <f>O30*ECO!O$66</f>
        <v>273.2191830603134</v>
      </c>
      <c r="P11" s="438">
        <f>P30*ECO!P$66</f>
        <v>300.3233117574798</v>
      </c>
      <c r="Q11" s="438">
        <f>Q30*ECO!Q$66</f>
        <v>329.73619191483294</v>
      </c>
      <c r="R11" s="438">
        <f>R30*ECO!R$66</f>
        <v>349.520363429723</v>
      </c>
      <c r="S11" s="438">
        <f>S30*ECO!S$66</f>
        <v>370.4915852355064</v>
      </c>
      <c r="T11" s="438">
        <f>T30*ECO!T$66</f>
        <v>392.7210803496368</v>
      </c>
      <c r="U11" s="438">
        <f>U30*ECO!U$66</f>
        <v>416.28434517061504</v>
      </c>
      <c r="V11" s="438">
        <f>V30*ECO!V$66</f>
        <v>441.26140588085195</v>
      </c>
      <c r="W11" s="438">
        <f>W30*ECO!W$66</f>
        <v>467.7370902337031</v>
      </c>
      <c r="X11" s="438">
        <f>X30*ECO!X$66</f>
        <v>495.8013156477253</v>
      </c>
      <c r="Y11" s="933">
        <f>Y30*ECO!Y$66</f>
        <v>525.5493945865887</v>
      </c>
      <c r="Z11" s="1096"/>
    </row>
    <row r="12" spans="1:26" ht="15">
      <c r="A12" s="517" t="s">
        <v>302</v>
      </c>
      <c r="B12" s="526">
        <v>0.088</v>
      </c>
      <c r="C12" s="526">
        <v>0.183</v>
      </c>
      <c r="D12" s="483">
        <v>0.15</v>
      </c>
      <c r="E12" s="285">
        <v>0.125</v>
      </c>
      <c r="F12" s="483">
        <v>0.191</v>
      </c>
      <c r="G12" s="483">
        <v>0.406</v>
      </c>
      <c r="H12" s="483">
        <v>0.255</v>
      </c>
      <c r="I12" s="483">
        <v>0.099</v>
      </c>
      <c r="J12" s="483">
        <v>0.321</v>
      </c>
      <c r="K12" s="436">
        <v>0.233</v>
      </c>
      <c r="L12" s="438">
        <f>L31*ECO!L$66</f>
        <v>0.2542170899160994</v>
      </c>
      <c r="M12" s="438">
        <f>M31*ECO!M$66</f>
        <v>0.27790675724236186</v>
      </c>
      <c r="N12" s="438">
        <f>N31*ECO!N$66</f>
        <v>0.3056425911033719</v>
      </c>
      <c r="O12" s="438">
        <f>O31*ECO!O$66</f>
        <v>0.33627775716321034</v>
      </c>
      <c r="P12" s="438">
        <f>P31*ECO!P$66</f>
        <v>0.36963747775842964</v>
      </c>
      <c r="Q12" s="438">
        <f>Q31*ECO!Q$66</f>
        <v>0.40583880615798634</v>
      </c>
      <c r="R12" s="438">
        <f>R31*ECO!R$66</f>
        <v>0.4301891345274656</v>
      </c>
      <c r="S12" s="438">
        <f>S31*ECO!S$66</f>
        <v>0.4560004825991136</v>
      </c>
      <c r="T12" s="438">
        <f>T31*ECO!T$66</f>
        <v>0.4833605115550604</v>
      </c>
      <c r="U12" s="438">
        <f>U31*ECO!U$66</f>
        <v>0.5123621422483641</v>
      </c>
      <c r="V12" s="438">
        <f>V31*ECO!V$66</f>
        <v>0.5431038707832659</v>
      </c>
      <c r="W12" s="438">
        <f>W31*ECO!W$66</f>
        <v>0.575690103030262</v>
      </c>
      <c r="X12" s="438">
        <f>X31*ECO!X$66</f>
        <v>0.6102315092120777</v>
      </c>
      <c r="Y12" s="933">
        <f>Y31*ECO!Y$66</f>
        <v>0.6468453997648023</v>
      </c>
      <c r="Z12" s="1096"/>
    </row>
    <row r="13" spans="1:26" s="133" customFormat="1" ht="15">
      <c r="A13" s="527" t="s">
        <v>295</v>
      </c>
      <c r="B13" s="484">
        <f>SUM(B10:B12)</f>
        <v>816.159</v>
      </c>
      <c r="C13" s="484">
        <f aca="true" t="shared" si="0" ref="C13:J13">SUM(C10:C12)</f>
        <v>979.6379999999999</v>
      </c>
      <c r="D13" s="484">
        <f t="shared" si="0"/>
        <v>1136.5600000000002</v>
      </c>
      <c r="E13" s="484">
        <f t="shared" si="0"/>
        <v>1202.9050000000002</v>
      </c>
      <c r="F13" s="484">
        <f t="shared" si="0"/>
        <v>1123.211</v>
      </c>
      <c r="G13" s="484">
        <f t="shared" si="0"/>
        <v>1207.926</v>
      </c>
      <c r="H13" s="484">
        <f t="shared" si="0"/>
        <v>1359.9420000000002</v>
      </c>
      <c r="I13" s="484">
        <f t="shared" si="0"/>
        <v>1534.9319999999998</v>
      </c>
      <c r="J13" s="484">
        <f t="shared" si="0"/>
        <v>1716.093</v>
      </c>
      <c r="K13" s="485">
        <f>SUM(K10:K12)</f>
        <v>1908.527</v>
      </c>
      <c r="L13" s="579">
        <f aca="true" t="shared" si="1" ref="L13:S13">SUM(L10:L11)</f>
        <v>2105.6352664299284</v>
      </c>
      <c r="M13" s="579">
        <f t="shared" si="1"/>
        <v>2327.6202281976525</v>
      </c>
      <c r="N13" s="579">
        <f t="shared" si="1"/>
        <v>2588.2622290640675</v>
      </c>
      <c r="O13" s="579">
        <f t="shared" si="1"/>
        <v>2878.8687246021836</v>
      </c>
      <c r="P13" s="579">
        <f t="shared" si="1"/>
        <v>3198.7337223272116</v>
      </c>
      <c r="Q13" s="579">
        <f t="shared" si="1"/>
        <v>3549.638885433636</v>
      </c>
      <c r="R13" s="579">
        <f t="shared" si="1"/>
        <v>3802.5045344684127</v>
      </c>
      <c r="S13" s="579">
        <f t="shared" si="1"/>
        <v>4072.935361399802</v>
      </c>
      <c r="T13" s="579">
        <f aca="true" t="shared" si="2" ref="T13:Y13">SUM(T10:T11)</f>
        <v>4362.1288712388705</v>
      </c>
      <c r="U13" s="579">
        <f t="shared" si="2"/>
        <v>4671.363034957589</v>
      </c>
      <c r="V13" s="579">
        <f t="shared" si="2"/>
        <v>5002.001634386093</v>
      </c>
      <c r="W13" s="579">
        <f t="shared" si="2"/>
        <v>5355.499958820171</v>
      </c>
      <c r="X13" s="579">
        <f t="shared" si="2"/>
        <v>5733.410876302547</v>
      </c>
      <c r="Y13" s="934">
        <f t="shared" si="2"/>
        <v>6137.39130403106</v>
      </c>
      <c r="Z13" s="1096"/>
    </row>
    <row r="14" spans="1:26" ht="15">
      <c r="A14" s="217"/>
      <c r="B14" s="218"/>
      <c r="C14" s="296"/>
      <c r="D14" s="283"/>
      <c r="E14" s="283"/>
      <c r="F14" s="283"/>
      <c r="G14" s="283"/>
      <c r="H14" s="283"/>
      <c r="I14" s="283"/>
      <c r="J14" s="283"/>
      <c r="K14" s="343"/>
      <c r="L14" s="296"/>
      <c r="M14" s="296"/>
      <c r="N14" s="296"/>
      <c r="O14" s="301"/>
      <c r="P14" s="296"/>
      <c r="Q14" s="296"/>
      <c r="R14" s="296"/>
      <c r="S14" s="296"/>
      <c r="T14" s="296"/>
      <c r="U14" s="296"/>
      <c r="V14" s="296"/>
      <c r="W14" s="296"/>
      <c r="X14" s="296"/>
      <c r="Y14" s="935"/>
      <c r="Z14" s="1096"/>
    </row>
    <row r="15" spans="1:26" ht="15">
      <c r="A15" s="516" t="s">
        <v>203</v>
      </c>
      <c r="B15" s="514">
        <v>160.55</v>
      </c>
      <c r="C15" s="514">
        <v>174.713</v>
      </c>
      <c r="D15" s="514">
        <v>193.712</v>
      </c>
      <c r="E15" s="514">
        <v>222.995</v>
      </c>
      <c r="F15" s="514">
        <v>264.645</v>
      </c>
      <c r="G15" s="514">
        <v>279.552</v>
      </c>
      <c r="H15" s="514">
        <v>315.114</v>
      </c>
      <c r="I15" s="514">
        <v>298.322</v>
      </c>
      <c r="J15" s="514">
        <v>317.255</v>
      </c>
      <c r="K15" s="515">
        <v>344.235</v>
      </c>
      <c r="L15" s="439">
        <f>L33*ECO!L$66</f>
        <v>375.5812014904227</v>
      </c>
      <c r="M15" s="439">
        <f>M33*ECO!M$66</f>
        <v>410.5803973361564</v>
      </c>
      <c r="N15" s="439">
        <f>N33*ECO!N$66</f>
        <v>451.55741351274344</v>
      </c>
      <c r="O15" s="439">
        <f>O33*ECO!O$66</f>
        <v>496.8179130346683</v>
      </c>
      <c r="P15" s="439">
        <f>P33*ECO!P$66</f>
        <v>546.1036787818585</v>
      </c>
      <c r="Q15" s="439">
        <f>Q33*ECO!Q$66</f>
        <v>599.5876456557702</v>
      </c>
      <c r="R15" s="439">
        <f>R33*ECO!R$66</f>
        <v>635.5629043951164</v>
      </c>
      <c r="S15" s="439">
        <f>S33*ECO!S$66</f>
        <v>673.6966786588234</v>
      </c>
      <c r="T15" s="439">
        <f>T33*ECO!T$66</f>
        <v>714.1184793783528</v>
      </c>
      <c r="U15" s="439">
        <f>U33*ECO!U$66</f>
        <v>756.9655881410541</v>
      </c>
      <c r="V15" s="439">
        <f>V33*ECO!V$66</f>
        <v>802.3835234295175</v>
      </c>
      <c r="W15" s="439">
        <f>W33*ECO!W$66</f>
        <v>850.5265348352885</v>
      </c>
      <c r="X15" s="439">
        <f>X33*ECO!X$66</f>
        <v>901.5581269254059</v>
      </c>
      <c r="Y15" s="936">
        <f>Y33*ECO!Y$66</f>
        <v>955.6516145409302</v>
      </c>
      <c r="Z15" s="1096"/>
    </row>
    <row r="16" spans="1:26" ht="15">
      <c r="A16" s="516" t="s">
        <v>204</v>
      </c>
      <c r="B16" s="514">
        <v>13.319</v>
      </c>
      <c r="C16" s="514">
        <v>15.577</v>
      </c>
      <c r="D16" s="514">
        <v>24.984</v>
      </c>
      <c r="E16" s="514">
        <v>49.717</v>
      </c>
      <c r="F16" s="514">
        <v>45.231</v>
      </c>
      <c r="G16" s="514">
        <v>39.693</v>
      </c>
      <c r="H16" s="514">
        <v>25.831</v>
      </c>
      <c r="I16" s="514">
        <v>32.281</v>
      </c>
      <c r="J16" s="514">
        <v>19.002</v>
      </c>
      <c r="K16" s="515">
        <v>25.88</v>
      </c>
      <c r="L16" s="439">
        <f>L34*ECO!L$66</f>
        <v>28.236645008706667</v>
      </c>
      <c r="M16" s="439">
        <f>M34*ECO!M$66</f>
        <v>30.867926512585086</v>
      </c>
      <c r="N16" s="439">
        <f>N34*ECO!N$66</f>
        <v>33.94862771568783</v>
      </c>
      <c r="O16" s="439">
        <f>O34*ECO!O$66</f>
        <v>37.351366332119674</v>
      </c>
      <c r="P16" s="439">
        <f>P34*ECO!P$66</f>
        <v>41.05672928921957</v>
      </c>
      <c r="Q16" s="439">
        <f>Q34*ECO!Q$66</f>
        <v>45.07771804020896</v>
      </c>
      <c r="R16" s="439">
        <f>R34*ECO!R$66</f>
        <v>47.7823811226215</v>
      </c>
      <c r="S16" s="439">
        <f>S34*ECO!S$66</f>
        <v>50.6493239899788</v>
      </c>
      <c r="T16" s="439">
        <f>T34*ECO!T$66</f>
        <v>53.68828342937753</v>
      </c>
      <c r="U16" s="439">
        <f>U34*ECO!U$66</f>
        <v>56.909580435140185</v>
      </c>
      <c r="V16" s="439">
        <f>V34*ECO!V$66</f>
        <v>60.3241552612486</v>
      </c>
      <c r="W16" s="439">
        <f>W34*ECO!W$66</f>
        <v>63.94360457692352</v>
      </c>
      <c r="X16" s="439">
        <f>X34*ECO!X$66</f>
        <v>67.78022085153893</v>
      </c>
      <c r="Y16" s="936">
        <f>Y34*ECO!Y$66</f>
        <v>71.84703410263126</v>
      </c>
      <c r="Z16" s="1096"/>
    </row>
    <row r="17" spans="1:26" ht="15">
      <c r="A17" s="516" t="s">
        <v>205</v>
      </c>
      <c r="B17" s="514">
        <v>12.237</v>
      </c>
      <c r="C17" s="514">
        <v>13.81</v>
      </c>
      <c r="D17" s="514">
        <v>27.336</v>
      </c>
      <c r="E17" s="514">
        <v>21.109</v>
      </c>
      <c r="F17" s="514">
        <v>17.439</v>
      </c>
      <c r="G17" s="514">
        <v>21.005</v>
      </c>
      <c r="H17" s="514">
        <v>53.705</v>
      </c>
      <c r="I17" s="514">
        <v>42.637</v>
      </c>
      <c r="J17" s="514">
        <v>66.329</v>
      </c>
      <c r="K17" s="515">
        <v>80.44</v>
      </c>
      <c r="L17" s="439">
        <f>L35*ECO!L$66</f>
        <v>87.76490434700015</v>
      </c>
      <c r="M17" s="439">
        <f>M35*ECO!M$66</f>
        <v>95.9434315561184</v>
      </c>
      <c r="N17" s="439">
        <f>N35*ECO!N$66</f>
        <v>105.51884132341301</v>
      </c>
      <c r="O17" s="439">
        <f>O35*ECO!O$66</f>
        <v>116.09520509102421</v>
      </c>
      <c r="P17" s="439">
        <f>P35*ECO!P$66</f>
        <v>127.61218330853254</v>
      </c>
      <c r="Q17" s="439">
        <f>Q35*ECO!Q$66</f>
        <v>140.11018698432798</v>
      </c>
      <c r="R17" s="439">
        <f>R35*ECO!R$66</f>
        <v>148.51679820338768</v>
      </c>
      <c r="S17" s="439">
        <f>S35*ECO!S$66</f>
        <v>157.42780609559097</v>
      </c>
      <c r="T17" s="439">
        <f>T35*ECO!T$66</f>
        <v>166.87347446132642</v>
      </c>
      <c r="U17" s="439">
        <f>U35*ECO!U$66</f>
        <v>176.88588292900602</v>
      </c>
      <c r="V17" s="439">
        <f>V35*ECO!V$66</f>
        <v>187.4990359047464</v>
      </c>
      <c r="W17" s="439">
        <f>W35*ECO!W$66</f>
        <v>198.7489780590312</v>
      </c>
      <c r="X17" s="439">
        <f>X35*ECO!X$66</f>
        <v>210.67391674257306</v>
      </c>
      <c r="Y17" s="936">
        <f>Y35*ECO!Y$66</f>
        <v>223.31435174712743</v>
      </c>
      <c r="Z17" s="1096"/>
    </row>
    <row r="18" spans="1:34" ht="15">
      <c r="A18" s="516" t="s">
        <v>206</v>
      </c>
      <c r="B18" s="514">
        <v>475.127</v>
      </c>
      <c r="C18" s="514">
        <v>526.529</v>
      </c>
      <c r="D18" s="514">
        <v>621.69</v>
      </c>
      <c r="E18" s="514">
        <v>688.899</v>
      </c>
      <c r="F18" s="514">
        <v>809.139</v>
      </c>
      <c r="G18" s="514">
        <v>876.483</v>
      </c>
      <c r="H18" s="514">
        <v>853.106</v>
      </c>
      <c r="I18" s="514">
        <v>1042.959</v>
      </c>
      <c r="J18" s="514">
        <v>1126.03</v>
      </c>
      <c r="K18" s="515">
        <v>1194.736</v>
      </c>
      <c r="L18" s="439">
        <f>L36*ECO!L$66</f>
        <v>1303.5292237682447</v>
      </c>
      <c r="M18" s="439">
        <f>M36*ECO!M$66</f>
        <v>1425.000890646826</v>
      </c>
      <c r="N18" s="439">
        <f>N36*ECO!N$66</f>
        <v>1567.2197713496914</v>
      </c>
      <c r="O18" s="439">
        <f>O36*ECO!O$66</f>
        <v>1724.3053325413964</v>
      </c>
      <c r="P18" s="439">
        <f>P36*ECO!P$66</f>
        <v>1895.3613803742287</v>
      </c>
      <c r="Q18" s="439">
        <f>Q36*ECO!Q$66</f>
        <v>2080.988119802438</v>
      </c>
      <c r="R18" s="439">
        <f>R36*ECO!R$66</f>
        <v>2205.8474069905847</v>
      </c>
      <c r="S18" s="439">
        <f>S36*ECO!S$66</f>
        <v>2338.19825141002</v>
      </c>
      <c r="T18" s="439">
        <f>T36*ECO!T$66</f>
        <v>2478.490146494621</v>
      </c>
      <c r="U18" s="439">
        <f>U36*ECO!U$66</f>
        <v>2627.1995552842986</v>
      </c>
      <c r="V18" s="439">
        <f>V36*ECO!V$66</f>
        <v>2784.8315286013567</v>
      </c>
      <c r="W18" s="439">
        <f>W36*ECO!W$66</f>
        <v>2951.9214203174383</v>
      </c>
      <c r="X18" s="439">
        <f>X36*ECO!X$66</f>
        <v>3129.0367055364845</v>
      </c>
      <c r="Y18" s="936">
        <f>Y36*ECO!Y$66</f>
        <v>3316.7789078686733</v>
      </c>
      <c r="Z18" s="1096"/>
      <c r="AA18" s="181"/>
      <c r="AB18" s="181"/>
      <c r="AC18" s="181"/>
      <c r="AD18" s="181"/>
      <c r="AE18" s="181"/>
      <c r="AF18" s="181"/>
      <c r="AG18" s="181"/>
      <c r="AH18" s="181"/>
    </row>
    <row r="19" spans="1:26" ht="15">
      <c r="A19" s="517" t="s">
        <v>200</v>
      </c>
      <c r="B19" s="562">
        <f>SUM(B15:B18)</f>
        <v>661.233</v>
      </c>
      <c r="C19" s="562">
        <f>SUM(C15:C18)</f>
        <v>730.629</v>
      </c>
      <c r="D19" s="562">
        <f>SUM(D15:D18)</f>
        <v>867.722</v>
      </c>
      <c r="E19" s="562">
        <f aca="true" t="shared" si="3" ref="E19:N19">SUM(E15:E18)</f>
        <v>982.72</v>
      </c>
      <c r="F19" s="562">
        <f t="shared" si="3"/>
        <v>1136.454</v>
      </c>
      <c r="G19" s="562">
        <f t="shared" si="3"/>
        <v>1216.733</v>
      </c>
      <c r="H19" s="562">
        <f t="shared" si="3"/>
        <v>1247.7559999999999</v>
      </c>
      <c r="I19" s="562">
        <f t="shared" si="3"/>
        <v>1416.199</v>
      </c>
      <c r="J19" s="562">
        <f>SUM(J15:J18)</f>
        <v>1528.616</v>
      </c>
      <c r="K19" s="519">
        <f>SUM(K15:K18)</f>
        <v>1645.2910000000002</v>
      </c>
      <c r="L19" s="580">
        <f>SUM(L15:L18)</f>
        <v>1795.1119746143743</v>
      </c>
      <c r="M19" s="580">
        <f t="shared" si="3"/>
        <v>1962.392646051686</v>
      </c>
      <c r="N19" s="580">
        <f t="shared" si="3"/>
        <v>2158.2446539015355</v>
      </c>
      <c r="O19" s="580">
        <f>SUM(O15:O18)</f>
        <v>2374.569816999209</v>
      </c>
      <c r="P19" s="580">
        <f>SUM(P15:P18)</f>
        <v>2610.1339717538394</v>
      </c>
      <c r="Q19" s="580">
        <f>SUM(Q15:Q18)</f>
        <v>2865.7636704827455</v>
      </c>
      <c r="R19" s="580">
        <f>SUM(R15:R18)</f>
        <v>3037.7094907117103</v>
      </c>
      <c r="S19" s="580">
        <f>SUM(S15:S18)</f>
        <v>3219.972060154413</v>
      </c>
      <c r="T19" s="580">
        <f aca="true" t="shared" si="4" ref="T19:Y19">SUM(T15:T18)</f>
        <v>3413.170383763678</v>
      </c>
      <c r="U19" s="580">
        <f t="shared" si="4"/>
        <v>3617.960606789499</v>
      </c>
      <c r="V19" s="580">
        <f t="shared" si="4"/>
        <v>3835.038243196869</v>
      </c>
      <c r="W19" s="580">
        <f t="shared" si="4"/>
        <v>4065.1405377886817</v>
      </c>
      <c r="X19" s="580">
        <f t="shared" si="4"/>
        <v>4309.048970056003</v>
      </c>
      <c r="Y19" s="937">
        <f t="shared" si="4"/>
        <v>4567.591908259362</v>
      </c>
      <c r="Z19" s="1096"/>
    </row>
    <row r="20" spans="1:26" ht="15">
      <c r="A20" s="516" t="s">
        <v>207</v>
      </c>
      <c r="B20" s="514">
        <v>299.807</v>
      </c>
      <c r="C20" s="514">
        <v>310.108</v>
      </c>
      <c r="D20" s="514">
        <v>267.8</v>
      </c>
      <c r="E20" s="514">
        <v>272.218</v>
      </c>
      <c r="F20" s="514">
        <v>278.866</v>
      </c>
      <c r="G20" s="514">
        <v>294.244</v>
      </c>
      <c r="H20" s="514">
        <v>278.996</v>
      </c>
      <c r="I20" s="514">
        <v>312.799</v>
      </c>
      <c r="J20" s="514">
        <v>323.434</v>
      </c>
      <c r="K20" s="515">
        <v>321.185</v>
      </c>
      <c r="L20" s="439">
        <f>L38*ECO!L$66</f>
        <v>350.4322576167485</v>
      </c>
      <c r="M20" s="439">
        <f>M38*ECO!M$66</f>
        <v>383.0879048278455</v>
      </c>
      <c r="N20" s="439">
        <f>N38*ECO!N$66</f>
        <v>421.3210970967231</v>
      </c>
      <c r="O20" s="439">
        <f>O38*ECO!O$66</f>
        <v>463.55095036251384</v>
      </c>
      <c r="P20" s="439">
        <f>P38*ECO!P$66</f>
        <v>509.5365377418079</v>
      </c>
      <c r="Q20" s="439">
        <f>Q38*ECO!Q$66</f>
        <v>559.4392144028019</v>
      </c>
      <c r="R20" s="439">
        <f>R38*ECO!R$66</f>
        <v>593.0055672669702</v>
      </c>
      <c r="S20" s="439">
        <f>S38*ECO!S$66</f>
        <v>628.5859013029884</v>
      </c>
      <c r="T20" s="439">
        <f>T38*ECO!T$66</f>
        <v>666.3010553811678</v>
      </c>
      <c r="U20" s="439">
        <f>U38*ECO!U$66</f>
        <v>706.2791187040378</v>
      </c>
      <c r="V20" s="439">
        <f>V38*ECO!V$66</f>
        <v>748.6558658262802</v>
      </c>
      <c r="W20" s="439">
        <f>W38*ECO!W$66</f>
        <v>793.575217775857</v>
      </c>
      <c r="X20" s="439">
        <f>X38*ECO!X$66</f>
        <v>841.1897308424085</v>
      </c>
      <c r="Y20" s="936">
        <f>Y38*ECO!Y$66</f>
        <v>891.6611146929529</v>
      </c>
      <c r="Z20" s="1096"/>
    </row>
    <row r="21" spans="1:26" ht="15">
      <c r="A21" s="516" t="s">
        <v>208</v>
      </c>
      <c r="B21" s="514">
        <v>0.19</v>
      </c>
      <c r="C21" s="514">
        <v>3.561</v>
      </c>
      <c r="D21" s="514">
        <v>3.729</v>
      </c>
      <c r="E21" s="514">
        <v>1.691</v>
      </c>
      <c r="F21" s="514">
        <v>1.359</v>
      </c>
      <c r="G21" s="514">
        <v>2.146</v>
      </c>
      <c r="H21" s="514">
        <v>12.889</v>
      </c>
      <c r="I21" s="514">
        <v>21.34</v>
      </c>
      <c r="J21" s="514">
        <v>11.479</v>
      </c>
      <c r="K21" s="515">
        <v>1.748</v>
      </c>
      <c r="L21" s="439">
        <f>L39*ECO!L$66</f>
        <v>1.907173704606617</v>
      </c>
      <c r="M21" s="439">
        <f>M39*ECO!M$66</f>
        <v>2.0848970457495644</v>
      </c>
      <c r="N21" s="439">
        <f>N39*ECO!N$66</f>
        <v>2.2929753186639226</v>
      </c>
      <c r="O21" s="439">
        <f>O39*ECO!O$66</f>
        <v>2.5228048048124108</v>
      </c>
      <c r="P21" s="439">
        <f>P39*ECO!P$66</f>
        <v>2.7730742966598068</v>
      </c>
      <c r="Q21" s="439">
        <f>Q39*ECO!Q$66</f>
        <v>3.0446619449105583</v>
      </c>
      <c r="R21" s="439">
        <f>R39*ECO!R$66</f>
        <v>3.2273416616051924</v>
      </c>
      <c r="S21" s="439">
        <f>S39*ECO!S$66</f>
        <v>3.420982161301504</v>
      </c>
      <c r="T21" s="439">
        <f>T39*ECO!T$66</f>
        <v>3.6262410909795944</v>
      </c>
      <c r="U21" s="439">
        <f>U39*ECO!U$66</f>
        <v>3.8438155564383703</v>
      </c>
      <c r="V21" s="439">
        <f>V39*ECO!V$66</f>
        <v>4.074444489824673</v>
      </c>
      <c r="W21" s="439">
        <f>W39*ECO!W$66</f>
        <v>4.318911159214154</v>
      </c>
      <c r="X21" s="439">
        <f>X39*ECO!X$66</f>
        <v>4.578045828767003</v>
      </c>
      <c r="Y21" s="936">
        <f>Y39*ECO!Y$66</f>
        <v>4.852728578493022</v>
      </c>
      <c r="Z21" s="1096"/>
    </row>
    <row r="22" spans="1:26" ht="15">
      <c r="A22" s="517" t="s">
        <v>201</v>
      </c>
      <c r="B22" s="518">
        <f>SUM(B20,B21)</f>
        <v>299.997</v>
      </c>
      <c r="C22" s="518">
        <f>SUM(C20,C21)</f>
        <v>313.669</v>
      </c>
      <c r="D22" s="518">
        <f aca="true" t="shared" si="5" ref="D22:Y22">SUM(D20,D21)</f>
        <v>271.529</v>
      </c>
      <c r="E22" s="518">
        <f t="shared" si="5"/>
        <v>273.909</v>
      </c>
      <c r="F22" s="518">
        <f t="shared" si="5"/>
        <v>280.22499999999997</v>
      </c>
      <c r="G22" s="518">
        <f t="shared" si="5"/>
        <v>296.39000000000004</v>
      </c>
      <c r="H22" s="518">
        <f t="shared" si="5"/>
        <v>291.885</v>
      </c>
      <c r="I22" s="518">
        <f t="shared" si="5"/>
        <v>334.13899999999995</v>
      </c>
      <c r="J22" s="518">
        <f t="shared" si="5"/>
        <v>334.913</v>
      </c>
      <c r="K22" s="520">
        <f>SUM(K20,K21)</f>
        <v>322.933</v>
      </c>
      <c r="L22" s="423">
        <f t="shared" si="5"/>
        <v>352.3394313213551</v>
      </c>
      <c r="M22" s="423">
        <f t="shared" si="5"/>
        <v>385.17280187359506</v>
      </c>
      <c r="N22" s="423">
        <f t="shared" si="5"/>
        <v>423.61407241538706</v>
      </c>
      <c r="O22" s="423">
        <f t="shared" si="5"/>
        <v>466.0737551673263</v>
      </c>
      <c r="P22" s="423">
        <f t="shared" si="5"/>
        <v>512.3096120384677</v>
      </c>
      <c r="Q22" s="423">
        <f t="shared" si="5"/>
        <v>562.4838763477125</v>
      </c>
      <c r="R22" s="423">
        <f t="shared" si="5"/>
        <v>596.2329089285754</v>
      </c>
      <c r="S22" s="423">
        <f t="shared" si="5"/>
        <v>632.0068834642899</v>
      </c>
      <c r="T22" s="423">
        <f t="shared" si="5"/>
        <v>669.9272964721474</v>
      </c>
      <c r="U22" s="423">
        <f t="shared" si="5"/>
        <v>710.1229342604762</v>
      </c>
      <c r="V22" s="423">
        <f t="shared" si="5"/>
        <v>752.7303103161049</v>
      </c>
      <c r="W22" s="423">
        <f t="shared" si="5"/>
        <v>797.8941289350712</v>
      </c>
      <c r="X22" s="423">
        <f t="shared" si="5"/>
        <v>845.7677766711755</v>
      </c>
      <c r="Y22" s="938">
        <f t="shared" si="5"/>
        <v>896.5138432714459</v>
      </c>
      <c r="Z22" s="1096"/>
    </row>
    <row r="23" spans="1:26" ht="15">
      <c r="A23" s="517" t="s">
        <v>202</v>
      </c>
      <c r="B23" s="518">
        <v>1.707</v>
      </c>
      <c r="C23" s="518">
        <v>0.131</v>
      </c>
      <c r="D23" s="518">
        <v>9.75</v>
      </c>
      <c r="E23" s="518">
        <v>14.393</v>
      </c>
      <c r="F23" s="518">
        <v>5.064</v>
      </c>
      <c r="G23" s="518">
        <v>9.258</v>
      </c>
      <c r="H23" s="518">
        <v>18.055</v>
      </c>
      <c r="I23" s="518">
        <v>27.421</v>
      </c>
      <c r="J23" s="518">
        <v>16.626</v>
      </c>
      <c r="K23" s="521">
        <v>13.395</v>
      </c>
      <c r="L23" s="438">
        <f>L41*ECO!L$66</f>
        <v>14.614755018996357</v>
      </c>
      <c r="M23" s="438">
        <f>M41*ECO!M$66</f>
        <v>15.976656709276552</v>
      </c>
      <c r="N23" s="438">
        <f>N41*ECO!N$66</f>
        <v>17.57116956150071</v>
      </c>
      <c r="O23" s="438">
        <f>O41*ECO!O$66</f>
        <v>19.332362906442928</v>
      </c>
      <c r="P23" s="438">
        <f>P41*ECO!P$66</f>
        <v>21.25018890375178</v>
      </c>
      <c r="Q23" s="438">
        <f>Q41*ECO!Q$66</f>
        <v>23.331376860455908</v>
      </c>
      <c r="R23" s="438">
        <f>R41*ECO!R$66</f>
        <v>24.731259472083266</v>
      </c>
      <c r="S23" s="438">
        <f>S41*ECO!S$66</f>
        <v>26.215135040408263</v>
      </c>
      <c r="T23" s="438">
        <f>T41*ECO!T$66</f>
        <v>27.78804314283276</v>
      </c>
      <c r="U23" s="438">
        <f>U41*ECO!U$66</f>
        <v>29.455325731402727</v>
      </c>
      <c r="V23" s="438">
        <f>V41*ECO!V$66</f>
        <v>31.222645275286894</v>
      </c>
      <c r="W23" s="438">
        <f>W41*ECO!W$66</f>
        <v>33.09600399180411</v>
      </c>
      <c r="X23" s="438">
        <f>X41*ECO!X$66</f>
        <v>35.081764231312356</v>
      </c>
      <c r="Y23" s="933">
        <f>Y41*ECO!Y$66</f>
        <v>37.186670085191096</v>
      </c>
      <c r="Z23" s="1096"/>
    </row>
    <row r="24" spans="1:26" s="133" customFormat="1" ht="15">
      <c r="A24" s="217" t="s">
        <v>182</v>
      </c>
      <c r="B24" s="350">
        <v>962.937</v>
      </c>
      <c r="C24" s="351">
        <v>1044.429</v>
      </c>
      <c r="D24" s="489">
        <f aca="true" t="shared" si="6" ref="D24:R24">SUM(D19,D22,D23)</f>
        <v>1149.001</v>
      </c>
      <c r="E24" s="489">
        <f t="shared" si="6"/>
        <v>1271.022</v>
      </c>
      <c r="F24" s="489">
        <f t="shared" si="6"/>
        <v>1421.743</v>
      </c>
      <c r="G24" s="489">
        <f t="shared" si="6"/>
        <v>1522.381</v>
      </c>
      <c r="H24" s="489">
        <f t="shared" si="6"/>
        <v>1557.696</v>
      </c>
      <c r="I24" s="489">
        <f>SUM(I19,I22,I23)</f>
        <v>1777.759</v>
      </c>
      <c r="J24" s="489">
        <f>SUM(J19,J22,J23)</f>
        <v>1880.155</v>
      </c>
      <c r="K24" s="490">
        <f>SUM(K19,K22,K23)</f>
        <v>1981.6190000000001</v>
      </c>
      <c r="L24" s="424">
        <f t="shared" si="6"/>
        <v>2162.0661609547255</v>
      </c>
      <c r="M24" s="424">
        <f t="shared" si="6"/>
        <v>2363.5421046345573</v>
      </c>
      <c r="N24" s="424">
        <f t="shared" si="6"/>
        <v>2599.429895878423</v>
      </c>
      <c r="O24" s="424">
        <f t="shared" si="6"/>
        <v>2859.9759350729782</v>
      </c>
      <c r="P24" s="424">
        <f t="shared" si="6"/>
        <v>3143.6937726960587</v>
      </c>
      <c r="Q24" s="424">
        <f t="shared" si="6"/>
        <v>3451.5789236909136</v>
      </c>
      <c r="R24" s="424">
        <f t="shared" si="6"/>
        <v>3658.673659112369</v>
      </c>
      <c r="S24" s="424">
        <f>SUM(S19,S22,S23)</f>
        <v>3878.1940786591113</v>
      </c>
      <c r="T24" s="424">
        <f aca="true" t="shared" si="7" ref="T24:Y24">SUM(T19,T22,T23)</f>
        <v>4110.885723378658</v>
      </c>
      <c r="U24" s="424">
        <f t="shared" si="7"/>
        <v>4357.538866781378</v>
      </c>
      <c r="V24" s="424">
        <f t="shared" si="7"/>
        <v>4618.991198788261</v>
      </c>
      <c r="W24" s="424">
        <f t="shared" si="7"/>
        <v>4896.130670715557</v>
      </c>
      <c r="X24" s="424">
        <f t="shared" si="7"/>
        <v>5189.898510958491</v>
      </c>
      <c r="Y24" s="939">
        <f t="shared" si="7"/>
        <v>5501.292421615999</v>
      </c>
      <c r="Z24" s="1096"/>
    </row>
    <row r="25" spans="1:26" ht="15">
      <c r="A25" s="217"/>
      <c r="B25" s="522"/>
      <c r="C25" s="298"/>
      <c r="D25" s="299"/>
      <c r="E25" s="299"/>
      <c r="F25" s="299"/>
      <c r="G25" s="299"/>
      <c r="H25" s="299"/>
      <c r="I25" s="299"/>
      <c r="J25" s="299"/>
      <c r="K25" s="486"/>
      <c r="L25" s="300"/>
      <c r="M25" s="300"/>
      <c r="N25" s="300"/>
      <c r="O25" s="300"/>
      <c r="P25" s="300"/>
      <c r="Q25" s="300"/>
      <c r="R25" s="300"/>
      <c r="S25" s="300"/>
      <c r="T25" s="300"/>
      <c r="U25" s="300"/>
      <c r="V25" s="300"/>
      <c r="W25" s="300"/>
      <c r="X25" s="300"/>
      <c r="Y25" s="940"/>
      <c r="Z25" s="1096"/>
    </row>
    <row r="26" spans="1:26" s="126" customFormat="1" ht="15">
      <c r="A26" s="528" t="s">
        <v>198</v>
      </c>
      <c r="B26" s="574">
        <f aca="true" t="shared" si="8" ref="B26:R26">B13-B24</f>
        <v>-146.77800000000002</v>
      </c>
      <c r="C26" s="574">
        <f>C13-C24</f>
        <v>-64.79100000000017</v>
      </c>
      <c r="D26" s="574">
        <f t="shared" si="8"/>
        <v>-12.440999999999804</v>
      </c>
      <c r="E26" s="574">
        <f t="shared" si="8"/>
        <v>-68.11699999999973</v>
      </c>
      <c r="F26" s="574">
        <f t="shared" si="8"/>
        <v>-298.5319999999999</v>
      </c>
      <c r="G26" s="574">
        <f t="shared" si="8"/>
        <v>-314.45500000000015</v>
      </c>
      <c r="H26" s="574">
        <f t="shared" si="8"/>
        <v>-197.75399999999968</v>
      </c>
      <c r="I26" s="574">
        <f t="shared" si="8"/>
        <v>-242.82700000000023</v>
      </c>
      <c r="J26" s="574">
        <f t="shared" si="8"/>
        <v>-164.0619999999999</v>
      </c>
      <c r="K26" s="577">
        <f>K13-K24</f>
        <v>-73.0920000000001</v>
      </c>
      <c r="L26" s="578">
        <f t="shared" si="8"/>
        <v>-56.43089452479717</v>
      </c>
      <c r="M26" s="578">
        <f t="shared" si="8"/>
        <v>-35.92187643690477</v>
      </c>
      <c r="N26" s="578">
        <f t="shared" si="8"/>
        <v>-11.16766681435547</v>
      </c>
      <c r="O26" s="578">
        <f t="shared" si="8"/>
        <v>18.892789529205402</v>
      </c>
      <c r="P26" s="578">
        <f t="shared" si="8"/>
        <v>55.03994963115292</v>
      </c>
      <c r="Q26" s="578">
        <f t="shared" si="8"/>
        <v>98.05996174272241</v>
      </c>
      <c r="R26" s="578">
        <f t="shared" si="8"/>
        <v>143.83087535604363</v>
      </c>
      <c r="S26" s="578">
        <f>S13-S24</f>
        <v>194.74128274069062</v>
      </c>
      <c r="T26" s="578">
        <f>T13-T24</f>
        <v>251.24314786021205</v>
      </c>
      <c r="U26" s="578">
        <f aca="true" t="shared" si="9" ref="U26:Y26">U13-U24</f>
        <v>313.82416817621106</v>
      </c>
      <c r="V26" s="578">
        <f t="shared" si="9"/>
        <v>383.01043559783284</v>
      </c>
      <c r="W26" s="578">
        <f t="shared" si="9"/>
        <v>459.3692881046136</v>
      </c>
      <c r="X26" s="578">
        <f t="shared" si="9"/>
        <v>543.512365344056</v>
      </c>
      <c r="Y26" s="941">
        <f t="shared" si="9"/>
        <v>636.0988824150609</v>
      </c>
      <c r="Z26" s="1096"/>
    </row>
    <row r="27" spans="1:26" ht="15">
      <c r="A27" s="297"/>
      <c r="B27" s="298"/>
      <c r="C27" s="298"/>
      <c r="D27" s="299"/>
      <c r="E27" s="299"/>
      <c r="F27" s="299"/>
      <c r="G27" s="299"/>
      <c r="H27" s="299"/>
      <c r="I27" s="299"/>
      <c r="J27" s="298"/>
      <c r="K27" s="300"/>
      <c r="L27" s="300"/>
      <c r="M27" s="300"/>
      <c r="N27" s="300"/>
      <c r="O27" s="300"/>
      <c r="P27" s="300"/>
      <c r="Q27" s="300"/>
      <c r="R27" s="300"/>
      <c r="S27" s="300"/>
      <c r="T27" s="300"/>
      <c r="U27" s="300"/>
      <c r="V27" s="300"/>
      <c r="W27" s="300"/>
      <c r="X27" s="300"/>
      <c r="Y27" s="300"/>
      <c r="Z27" s="432"/>
    </row>
    <row r="28" spans="1:26" ht="13.5" customHeight="1">
      <c r="A28" s="426" t="s">
        <v>301</v>
      </c>
      <c r="B28" s="427"/>
      <c r="C28" s="929"/>
      <c r="D28" s="929"/>
      <c r="E28" s="929"/>
      <c r="F28" s="929"/>
      <c r="G28" s="929"/>
      <c r="H28" s="929"/>
      <c r="I28" s="929"/>
      <c r="J28" s="929"/>
      <c r="K28" s="930"/>
      <c r="L28" s="929"/>
      <c r="M28" s="929"/>
      <c r="N28" s="929"/>
      <c r="O28" s="929"/>
      <c r="P28" s="929"/>
      <c r="Q28" s="929"/>
      <c r="R28" s="929"/>
      <c r="S28" s="428"/>
      <c r="T28" s="428"/>
      <c r="U28" s="428"/>
      <c r="V28" s="428"/>
      <c r="W28" s="428"/>
      <c r="X28" s="428"/>
      <c r="Y28" s="429"/>
      <c r="Z28" s="432"/>
    </row>
    <row r="29" spans="1:26" ht="12.75" customHeight="1">
      <c r="A29" s="425" t="s">
        <v>265</v>
      </c>
      <c r="B29" s="430">
        <f>B10/ECO!B$66</f>
        <v>0.12427722249130377</v>
      </c>
      <c r="C29" s="430">
        <f>C10/ECO!C$66</f>
        <v>0.13711297612226897</v>
      </c>
      <c r="D29" s="430">
        <f>D10/ECO!D$66</f>
        <v>0.13535104641548673</v>
      </c>
      <c r="E29" s="430">
        <f>E10/ECO!E$66</f>
        <v>0.13588941604369334</v>
      </c>
      <c r="F29" s="430">
        <f>F10/ECO!F$66</f>
        <v>0.12230420016189594</v>
      </c>
      <c r="G29" s="430">
        <f>G10/ECO!G$66</f>
        <v>0.12146892090613852</v>
      </c>
      <c r="H29" s="430">
        <f>H10/ECO!H$66</f>
        <v>0.12384430349543203</v>
      </c>
      <c r="I29" s="430">
        <f>I10/ECO!I$66</f>
        <v>0.12883063764246958</v>
      </c>
      <c r="J29" s="430">
        <f>J10/ECO!J$66</f>
        <v>0.13298169384278455</v>
      </c>
      <c r="K29" s="487">
        <f>K10/ECO!K$66</f>
        <v>0.13606031343992403</v>
      </c>
      <c r="L29" s="433">
        <f>Calculations!L156</f>
        <v>0.13777029105135802</v>
      </c>
      <c r="M29" s="433">
        <f>Calculations!M156</f>
        <v>0.139480268662792</v>
      </c>
      <c r="N29" s="433">
        <f>Calculations!N156</f>
        <v>0.141190246274226</v>
      </c>
      <c r="O29" s="433">
        <f>Calculations!O156</f>
        <v>0.14290022388565998</v>
      </c>
      <c r="P29" s="433">
        <f>Calculations!P156</f>
        <v>0.14461020149709397</v>
      </c>
      <c r="Q29" s="433">
        <f>Calculations!Q156</f>
        <v>0.14632017910852796</v>
      </c>
      <c r="R29" s="433">
        <f>Calculations!R156</f>
        <v>0.14803015671996195</v>
      </c>
      <c r="S29" s="433">
        <f>Calculations!S156</f>
        <v>0.14974013433139594</v>
      </c>
      <c r="T29" s="433">
        <f>Calculations!T156</f>
        <v>0.15145011194282992</v>
      </c>
      <c r="U29" s="433">
        <f>Calculations!U156</f>
        <v>0.1531600895542639</v>
      </c>
      <c r="V29" s="433">
        <f>Calculations!V156</f>
        <v>0.1548700671656979</v>
      </c>
      <c r="W29" s="433">
        <f>Calculations!W156</f>
        <v>0.1565800447771319</v>
      </c>
      <c r="X29" s="433">
        <f>Calculations!X156</f>
        <v>0.15829002238856588</v>
      </c>
      <c r="Y29" s="433">
        <f>Calculations!Y156</f>
        <v>0.16</v>
      </c>
      <c r="Z29" s="1086" t="s">
        <v>434</v>
      </c>
    </row>
    <row r="30" spans="1:26" ht="15">
      <c r="A30" s="517" t="s">
        <v>266</v>
      </c>
      <c r="B30" s="430">
        <f>B11/ECO!B$66</f>
        <v>0.019454185196600766</v>
      </c>
      <c r="C30" s="430">
        <f>C11/ECO!C$66</f>
        <v>0.019071121963618515</v>
      </c>
      <c r="D30" s="430">
        <f>D11/ECO!D$66</f>
        <v>0.02951998202161382</v>
      </c>
      <c r="E30" s="430">
        <f>E11/ECO!E$66</f>
        <v>0.019892880405310103</v>
      </c>
      <c r="F30" s="430">
        <f>F11/ECO!F$66</f>
        <v>0.017616057924709293</v>
      </c>
      <c r="G30" s="430">
        <f>G11/ECO!G$66</f>
        <v>0.012648109397699557</v>
      </c>
      <c r="H30" s="430">
        <f>H11/ECO!H$66</f>
        <v>0.01623909416059808</v>
      </c>
      <c r="I30" s="430">
        <f>I11/ECO!I$66</f>
        <v>0.01644617840646837</v>
      </c>
      <c r="J30" s="430">
        <f>J11/ECO!J$66</f>
        <v>0.015593264780605031</v>
      </c>
      <c r="K30" s="487">
        <f>K11/ECO!K$66</f>
        <v>0.014984011397815418</v>
      </c>
      <c r="L30" s="433">
        <f>K30</f>
        <v>0.014984011397815418</v>
      </c>
      <c r="M30" s="433">
        <f aca="true" t="shared" si="10" ref="M30:P31">L30</f>
        <v>0.014984011397815418</v>
      </c>
      <c r="N30" s="433">
        <f t="shared" si="10"/>
        <v>0.014984011397815418</v>
      </c>
      <c r="O30" s="433">
        <f t="shared" si="10"/>
        <v>0.014984011397815418</v>
      </c>
      <c r="P30" s="433">
        <f t="shared" si="10"/>
        <v>0.014984011397815418</v>
      </c>
      <c r="Q30" s="433">
        <f aca="true" t="shared" si="11" ref="Q30:Y30">P30</f>
        <v>0.014984011397815418</v>
      </c>
      <c r="R30" s="433">
        <f t="shared" si="11"/>
        <v>0.014984011397815418</v>
      </c>
      <c r="S30" s="433">
        <f t="shared" si="11"/>
        <v>0.014984011397815418</v>
      </c>
      <c r="T30" s="433">
        <f t="shared" si="11"/>
        <v>0.014984011397815418</v>
      </c>
      <c r="U30" s="433">
        <f t="shared" si="11"/>
        <v>0.014984011397815418</v>
      </c>
      <c r="V30" s="433">
        <f t="shared" si="11"/>
        <v>0.014984011397815418</v>
      </c>
      <c r="W30" s="433">
        <f t="shared" si="11"/>
        <v>0.014984011397815418</v>
      </c>
      <c r="X30" s="433">
        <f t="shared" si="11"/>
        <v>0.014984011397815418</v>
      </c>
      <c r="Y30" s="433">
        <f t="shared" si="11"/>
        <v>0.014984011397815418</v>
      </c>
      <c r="Z30" s="1086"/>
    </row>
    <row r="31" spans="1:26" ht="15">
      <c r="A31" s="517" t="s">
        <v>303</v>
      </c>
      <c r="B31" s="430">
        <f>B12/ECO!B$66</f>
        <v>1.5499097353705252E-05</v>
      </c>
      <c r="C31" s="430">
        <f>C12/ECO!C$66</f>
        <v>2.9181218075069718E-05</v>
      </c>
      <c r="D31" s="430">
        <f>D12/ECO!D$66</f>
        <v>2.1762087860512562E-05</v>
      </c>
      <c r="E31" s="430">
        <f>E12/ECO!E$66</f>
        <v>1.6189816139381622E-05</v>
      </c>
      <c r="F31" s="430">
        <f>F12/ECO!F$66</f>
        <v>2.3797233615199728E-05</v>
      </c>
      <c r="G31" s="430">
        <f>G12/ECO!G$66</f>
        <v>4.509367489015359E-05</v>
      </c>
      <c r="H31" s="430">
        <f>H12/ECO!H$66</f>
        <v>2.627168341117307E-05</v>
      </c>
      <c r="I31" s="430">
        <f>I12/ECO!I$66</f>
        <v>9.370664293017455E-06</v>
      </c>
      <c r="J31" s="430">
        <f>J12/ECO!J$66</f>
        <v>2.7796561383510197E-05</v>
      </c>
      <c r="K31" s="487">
        <f>K12/ECO!K$66</f>
        <v>1.8442298559442774E-05</v>
      </c>
      <c r="L31" s="433">
        <f>K31</f>
        <v>1.8442298559442774E-05</v>
      </c>
      <c r="M31" s="433">
        <f>L31</f>
        <v>1.8442298559442774E-05</v>
      </c>
      <c r="N31" s="433">
        <f t="shared" si="10"/>
        <v>1.8442298559442774E-05</v>
      </c>
      <c r="O31" s="433">
        <f t="shared" si="10"/>
        <v>1.8442298559442774E-05</v>
      </c>
      <c r="P31" s="433">
        <f t="shared" si="10"/>
        <v>1.8442298559442774E-05</v>
      </c>
      <c r="Q31" s="433">
        <f aca="true" t="shared" si="12" ref="Q31:Y31">P31</f>
        <v>1.8442298559442774E-05</v>
      </c>
      <c r="R31" s="433">
        <f t="shared" si="12"/>
        <v>1.8442298559442774E-05</v>
      </c>
      <c r="S31" s="433">
        <f t="shared" si="12"/>
        <v>1.8442298559442774E-05</v>
      </c>
      <c r="T31" s="433">
        <f t="shared" si="12"/>
        <v>1.8442298559442774E-05</v>
      </c>
      <c r="U31" s="433">
        <f t="shared" si="12"/>
        <v>1.8442298559442774E-05</v>
      </c>
      <c r="V31" s="433">
        <f t="shared" si="12"/>
        <v>1.8442298559442774E-05</v>
      </c>
      <c r="W31" s="433">
        <f t="shared" si="12"/>
        <v>1.8442298559442774E-05</v>
      </c>
      <c r="X31" s="433">
        <f t="shared" si="12"/>
        <v>1.8442298559442774E-05</v>
      </c>
      <c r="Y31" s="433">
        <f t="shared" si="12"/>
        <v>1.8442298559442774E-05</v>
      </c>
      <c r="Z31" s="1086"/>
    </row>
    <row r="32" spans="1:26" ht="15">
      <c r="A32" s="527" t="s">
        <v>274</v>
      </c>
      <c r="B32" s="296"/>
      <c r="C32" s="296"/>
      <c r="D32" s="283"/>
      <c r="E32" s="283"/>
      <c r="F32" s="283"/>
      <c r="G32" s="283"/>
      <c r="H32" s="283"/>
      <c r="I32" s="283"/>
      <c r="J32" s="283"/>
      <c r="K32" s="488"/>
      <c r="L32" s="296"/>
      <c r="M32" s="296"/>
      <c r="N32" s="296"/>
      <c r="O32" s="301"/>
      <c r="P32" s="296"/>
      <c r="Q32" s="296"/>
      <c r="R32" s="296"/>
      <c r="S32" s="296"/>
      <c r="T32" s="296"/>
      <c r="U32" s="296"/>
      <c r="V32" s="296"/>
      <c r="W32" s="296"/>
      <c r="X32" s="296"/>
      <c r="Y32" s="343"/>
      <c r="Z32" s="432"/>
    </row>
    <row r="33" spans="1:26" ht="13.5" customHeight="1">
      <c r="A33" s="516" t="s">
        <v>267</v>
      </c>
      <c r="B33" s="216">
        <f>B15/ECO!B$66</f>
        <v>0.028277046365197483</v>
      </c>
      <c r="C33" s="216">
        <f>C15/ECO!C$66</f>
        <v>0.027859771330872436</v>
      </c>
      <c r="D33" s="216">
        <f>D15/ECO!D$66</f>
        <v>0.028103850424237395</v>
      </c>
      <c r="E33" s="216">
        <f>E15/ECO!E$66</f>
        <v>0.028881984400011242</v>
      </c>
      <c r="F33" s="216">
        <f>F15/ECO!F$66</f>
        <v>0.03297287377012844</v>
      </c>
      <c r="G33" s="216">
        <f>G15/ECO!G$66</f>
        <v>0.031049327593330584</v>
      </c>
      <c r="H33" s="216">
        <f>H15/ECO!H$66</f>
        <v>0.03246500096638584</v>
      </c>
      <c r="I33" s="216">
        <f>I15/ECO!I$66</f>
        <v>0.02823712437597528</v>
      </c>
      <c r="J33" s="216">
        <f>J15/ECO!J$66</f>
        <v>0.02747226816736924</v>
      </c>
      <c r="K33" s="529">
        <f>K15/ECO!K$66</f>
        <v>0.027246715212917525</v>
      </c>
      <c r="L33" s="450">
        <f>K33</f>
        <v>0.027246715212917525</v>
      </c>
      <c r="M33" s="450">
        <f>L33</f>
        <v>0.027246715212917525</v>
      </c>
      <c r="N33" s="450">
        <f>M33</f>
        <v>0.027246715212917525</v>
      </c>
      <c r="O33" s="450">
        <f>N33</f>
        <v>0.027246715212917525</v>
      </c>
      <c r="P33" s="450">
        <f>O33</f>
        <v>0.027246715212917525</v>
      </c>
      <c r="Q33" s="450">
        <f aca="true" t="shared" si="13" ref="Q33:Q41">P33</f>
        <v>0.027246715212917525</v>
      </c>
      <c r="R33" s="450">
        <f aca="true" t="shared" si="14" ref="R33:R41">Q33</f>
        <v>0.027246715212917525</v>
      </c>
      <c r="S33" s="450">
        <f aca="true" t="shared" si="15" ref="S33:S41">R33</f>
        <v>0.027246715212917525</v>
      </c>
      <c r="T33" s="450">
        <f aca="true" t="shared" si="16" ref="T33:T41">S33</f>
        <v>0.027246715212917525</v>
      </c>
      <c r="U33" s="450">
        <f aca="true" t="shared" si="17" ref="U33:U41">T33</f>
        <v>0.027246715212917525</v>
      </c>
      <c r="V33" s="450">
        <f aca="true" t="shared" si="18" ref="V33:V41">U33</f>
        <v>0.027246715212917525</v>
      </c>
      <c r="W33" s="450">
        <f aca="true" t="shared" si="19" ref="W33:W41">V33</f>
        <v>0.027246715212917525</v>
      </c>
      <c r="X33" s="450">
        <f aca="true" t="shared" si="20" ref="X33:X41">W33</f>
        <v>0.027246715212917525</v>
      </c>
      <c r="Y33" s="846">
        <f aca="true" t="shared" si="21" ref="Y33:Y41">X33</f>
        <v>0.027246715212917525</v>
      </c>
      <c r="Z33" s="535" t="s">
        <v>304</v>
      </c>
    </row>
    <row r="34" spans="1:26" ht="15">
      <c r="A34" s="516" t="s">
        <v>268</v>
      </c>
      <c r="B34" s="216">
        <f>B16/ECO!B$66</f>
        <v>0.0023458236097045485</v>
      </c>
      <c r="C34" s="216">
        <f>C16/ECO!C$66</f>
        <v>0.002483911660958257</v>
      </c>
      <c r="D34" s="216">
        <f>D16/ECO!D$66</f>
        <v>0.0036246933540469727</v>
      </c>
      <c r="E34" s="216">
        <f>E16/ECO!E$66</f>
        <v>0.006439272712013089</v>
      </c>
      <c r="F34" s="216">
        <f>F16/ECO!F$66</f>
        <v>0.005635459024340832</v>
      </c>
      <c r="G34" s="216">
        <f>G16/ECO!G$66</f>
        <v>0.004408628663583414</v>
      </c>
      <c r="H34" s="216">
        <f>H16/ECO!H$66</f>
        <v>0.002661270016447104</v>
      </c>
      <c r="I34" s="216">
        <f>I16/ECO!I$66</f>
        <v>0.0030554991317464286</v>
      </c>
      <c r="J34" s="216">
        <f>J16/ECO!J$66</f>
        <v>0.0016454525215247996</v>
      </c>
      <c r="K34" s="529">
        <f>K16/ECO!K$66</f>
        <v>0.0020484407155295235</v>
      </c>
      <c r="L34" s="450">
        <f aca="true" t="shared" si="22" ref="L34:P41">K34</f>
        <v>0.0020484407155295235</v>
      </c>
      <c r="M34" s="450">
        <f t="shared" si="22"/>
        <v>0.0020484407155295235</v>
      </c>
      <c r="N34" s="450">
        <f>M34</f>
        <v>0.0020484407155295235</v>
      </c>
      <c r="O34" s="450">
        <f t="shared" si="22"/>
        <v>0.0020484407155295235</v>
      </c>
      <c r="P34" s="450">
        <f t="shared" si="22"/>
        <v>0.0020484407155295235</v>
      </c>
      <c r="Q34" s="450">
        <f t="shared" si="13"/>
        <v>0.0020484407155295235</v>
      </c>
      <c r="R34" s="450">
        <f t="shared" si="14"/>
        <v>0.0020484407155295235</v>
      </c>
      <c r="S34" s="450">
        <f t="shared" si="15"/>
        <v>0.0020484407155295235</v>
      </c>
      <c r="T34" s="450">
        <f t="shared" si="16"/>
        <v>0.0020484407155295235</v>
      </c>
      <c r="U34" s="450">
        <f t="shared" si="17"/>
        <v>0.0020484407155295235</v>
      </c>
      <c r="V34" s="450">
        <f t="shared" si="18"/>
        <v>0.0020484407155295235</v>
      </c>
      <c r="W34" s="450">
        <f t="shared" si="19"/>
        <v>0.0020484407155295235</v>
      </c>
      <c r="X34" s="450">
        <f t="shared" si="20"/>
        <v>0.0020484407155295235</v>
      </c>
      <c r="Y34" s="846">
        <f t="shared" si="21"/>
        <v>0.0020484407155295235</v>
      </c>
      <c r="Z34" s="432"/>
    </row>
    <row r="35" spans="1:26" ht="15">
      <c r="A35" s="516" t="s">
        <v>269</v>
      </c>
      <c r="B35" s="216">
        <f>B17/ECO!B$66</f>
        <v>0.002155255162696491</v>
      </c>
      <c r="C35" s="216">
        <f>C17/ECO!C$66</f>
        <v>0.002202145473315371</v>
      </c>
      <c r="D35" s="216">
        <f>D17/ECO!D$66</f>
        <v>0.003965922891699809</v>
      </c>
      <c r="E35" s="216">
        <f>E17/ECO!E$66</f>
        <v>0.002734006631089654</v>
      </c>
      <c r="F35" s="216">
        <f>F17/ECO!F$66</f>
        <v>0.0021727746440600424</v>
      </c>
      <c r="G35" s="216">
        <f>G17/ECO!G$66</f>
        <v>0.0023329868006593006</v>
      </c>
      <c r="H35" s="216">
        <f>H17/ECO!H$66</f>
        <v>0.00553302257881196</v>
      </c>
      <c r="I35" s="216">
        <f>I17/ECO!I$66</f>
        <v>0.004035727408700861</v>
      </c>
      <c r="J35" s="216">
        <f>J17/ECO!J$66</f>
        <v>0.005743670155784572</v>
      </c>
      <c r="K35" s="529">
        <f>K17/ECO!K$66</f>
        <v>0.006366946335285737</v>
      </c>
      <c r="L35" s="450">
        <f t="shared" si="22"/>
        <v>0.006366946335285737</v>
      </c>
      <c r="M35" s="450">
        <f t="shared" si="22"/>
        <v>0.006366946335285737</v>
      </c>
      <c r="N35" s="450">
        <f t="shared" si="22"/>
        <v>0.006366946335285737</v>
      </c>
      <c r="O35" s="450">
        <f t="shared" si="22"/>
        <v>0.006366946335285737</v>
      </c>
      <c r="P35" s="450">
        <f t="shared" si="22"/>
        <v>0.006366946335285737</v>
      </c>
      <c r="Q35" s="450">
        <f t="shared" si="13"/>
        <v>0.006366946335285737</v>
      </c>
      <c r="R35" s="450">
        <f t="shared" si="14"/>
        <v>0.006366946335285737</v>
      </c>
      <c r="S35" s="450">
        <f t="shared" si="15"/>
        <v>0.006366946335285737</v>
      </c>
      <c r="T35" s="450">
        <f t="shared" si="16"/>
        <v>0.006366946335285737</v>
      </c>
      <c r="U35" s="450">
        <f t="shared" si="17"/>
        <v>0.006366946335285737</v>
      </c>
      <c r="V35" s="450">
        <f t="shared" si="18"/>
        <v>0.006366946335285737</v>
      </c>
      <c r="W35" s="450">
        <f t="shared" si="19"/>
        <v>0.006366946335285737</v>
      </c>
      <c r="X35" s="450">
        <f t="shared" si="20"/>
        <v>0.006366946335285737</v>
      </c>
      <c r="Y35" s="846">
        <f t="shared" si="21"/>
        <v>0.006366946335285737</v>
      </c>
      <c r="Z35" s="432"/>
    </row>
    <row r="36" spans="1:26" ht="15">
      <c r="A36" s="516" t="s">
        <v>270</v>
      </c>
      <c r="B36" s="216">
        <f>B18/ECO!B$66</f>
        <v>0.08368226850424905</v>
      </c>
      <c r="C36" s="216">
        <f>C18/ECO!C$66</f>
        <v>0.08396042388988188</v>
      </c>
      <c r="D36" s="216">
        <f>D18/ECO!D$66</f>
        <v>0.09019514934668038</v>
      </c>
      <c r="E36" s="216">
        <f>E18/ECO!E$66</f>
        <v>0.0892251851888309</v>
      </c>
      <c r="F36" s="216">
        <f>F18/ECO!F$66</f>
        <v>0.10081293094329369</v>
      </c>
      <c r="G36" s="216">
        <f>G18/ECO!G$66</f>
        <v>0.09734935824814404</v>
      </c>
      <c r="H36" s="216">
        <f>H18/ECO!H$66</f>
        <v>0.08789227744381259</v>
      </c>
      <c r="I36" s="216">
        <f>I18/ECO!I$66</f>
        <v>0.09871938040789081</v>
      </c>
      <c r="J36" s="216">
        <f>J18/ECO!J$66</f>
        <v>0.0975070467746853</v>
      </c>
      <c r="K36" s="529">
        <f>K18/ECO!K$66</f>
        <v>0.09456514168117779</v>
      </c>
      <c r="L36" s="450">
        <f t="shared" si="22"/>
        <v>0.09456514168117779</v>
      </c>
      <c r="M36" s="450">
        <f t="shared" si="22"/>
        <v>0.09456514168117779</v>
      </c>
      <c r="N36" s="450">
        <f t="shared" si="22"/>
        <v>0.09456514168117779</v>
      </c>
      <c r="O36" s="450">
        <f t="shared" si="22"/>
        <v>0.09456514168117779</v>
      </c>
      <c r="P36" s="450">
        <f t="shared" si="22"/>
        <v>0.09456514168117779</v>
      </c>
      <c r="Q36" s="450">
        <f t="shared" si="13"/>
        <v>0.09456514168117779</v>
      </c>
      <c r="R36" s="450">
        <f t="shared" si="14"/>
        <v>0.09456514168117779</v>
      </c>
      <c r="S36" s="450">
        <f t="shared" si="15"/>
        <v>0.09456514168117779</v>
      </c>
      <c r="T36" s="450">
        <f t="shared" si="16"/>
        <v>0.09456514168117779</v>
      </c>
      <c r="U36" s="450">
        <f t="shared" si="17"/>
        <v>0.09456514168117779</v>
      </c>
      <c r="V36" s="450">
        <f t="shared" si="18"/>
        <v>0.09456514168117779</v>
      </c>
      <c r="W36" s="450">
        <f t="shared" si="19"/>
        <v>0.09456514168117779</v>
      </c>
      <c r="X36" s="450">
        <f t="shared" si="20"/>
        <v>0.09456514168117779</v>
      </c>
      <c r="Y36" s="846">
        <f t="shared" si="21"/>
        <v>0.09456514168117779</v>
      </c>
      <c r="Z36" s="432"/>
    </row>
    <row r="37" spans="1:26" ht="15">
      <c r="A37" s="517" t="s">
        <v>275</v>
      </c>
      <c r="B37" s="530">
        <f>B19/ECO!B$66</f>
        <v>0.11646039364184756</v>
      </c>
      <c r="C37" s="530">
        <f>C19/ECO!C$66</f>
        <v>0.11650625235502794</v>
      </c>
      <c r="D37" s="430">
        <f>D19/ECO!D$66</f>
        <v>0.12588961601666454</v>
      </c>
      <c r="E37" s="430">
        <f>E19/ECO!E$66</f>
        <v>0.12728044893194487</v>
      </c>
      <c r="F37" s="430">
        <f>F19/ECO!F$66</f>
        <v>0.141594038381823</v>
      </c>
      <c r="G37" s="430">
        <f>G19/ECO!G$66</f>
        <v>0.13514030130571736</v>
      </c>
      <c r="H37" s="430">
        <f>H19/ECO!H$66</f>
        <v>0.1285515710054575</v>
      </c>
      <c r="I37" s="430">
        <f>I19/ECO!I$66</f>
        <v>0.13404773132431339</v>
      </c>
      <c r="J37" s="530">
        <f>J19/ECO!J$66</f>
        <v>0.13236843761936393</v>
      </c>
      <c r="K37" s="531">
        <f>K19/ECO!K$66</f>
        <v>0.13022724394491056</v>
      </c>
      <c r="L37" s="434">
        <f>K37</f>
        <v>0.13022724394491056</v>
      </c>
      <c r="M37" s="434">
        <f t="shared" si="22"/>
        <v>0.13022724394491056</v>
      </c>
      <c r="N37" s="434">
        <f t="shared" si="22"/>
        <v>0.13022724394491056</v>
      </c>
      <c r="O37" s="434">
        <f t="shared" si="22"/>
        <v>0.13022724394491056</v>
      </c>
      <c r="P37" s="434">
        <f t="shared" si="22"/>
        <v>0.13022724394491056</v>
      </c>
      <c r="Q37" s="434">
        <f t="shared" si="13"/>
        <v>0.13022724394491056</v>
      </c>
      <c r="R37" s="434">
        <f t="shared" si="14"/>
        <v>0.13022724394491056</v>
      </c>
      <c r="S37" s="434">
        <f t="shared" si="15"/>
        <v>0.13022724394491056</v>
      </c>
      <c r="T37" s="434">
        <f t="shared" si="16"/>
        <v>0.13022724394491056</v>
      </c>
      <c r="U37" s="434">
        <f t="shared" si="17"/>
        <v>0.13022724394491056</v>
      </c>
      <c r="V37" s="434">
        <f t="shared" si="18"/>
        <v>0.13022724394491056</v>
      </c>
      <c r="W37" s="434">
        <f t="shared" si="19"/>
        <v>0.13022724394491056</v>
      </c>
      <c r="X37" s="434">
        <f t="shared" si="20"/>
        <v>0.13022724394491056</v>
      </c>
      <c r="Y37" s="931">
        <f t="shared" si="21"/>
        <v>0.13022724394491056</v>
      </c>
      <c r="Z37" s="432"/>
    </row>
    <row r="38" spans="1:26" ht="15">
      <c r="A38" s="516" t="s">
        <v>271</v>
      </c>
      <c r="B38" s="216">
        <f>B20/ECO!B$66</f>
        <v>0.052803839549117174</v>
      </c>
      <c r="C38" s="216">
        <f>C20/ECO!C$66</f>
        <v>0.049449886201222516</v>
      </c>
      <c r="D38" s="216">
        <f>D20/ECO!D$66</f>
        <v>0.038852580860301765</v>
      </c>
      <c r="E38" s="216">
        <f>E20/ECO!E$66</f>
        <v>0.0352572749586415</v>
      </c>
      <c r="F38" s="216">
        <f>F20/ECO!F$66</f>
        <v>0.03474470863526852</v>
      </c>
      <c r="G38" s="216">
        <f>G20/ECO!G$66</f>
        <v>0.032681141069897425</v>
      </c>
      <c r="H38" s="216">
        <f>H20/ECO!H$66</f>
        <v>0.02874390033326918</v>
      </c>
      <c r="I38" s="216">
        <f>I20/ECO!I$66</f>
        <v>0.029607418385773396</v>
      </c>
      <c r="J38" s="216">
        <f>J20/ECO!J$66</f>
        <v>0.028007330325589525</v>
      </c>
      <c r="K38" s="529">
        <f>K20/ECO!K$66</f>
        <v>0.025422273230964066</v>
      </c>
      <c r="L38" s="450">
        <f t="shared" si="22"/>
        <v>0.025422273230964066</v>
      </c>
      <c r="M38" s="450">
        <f t="shared" si="22"/>
        <v>0.025422273230964066</v>
      </c>
      <c r="N38" s="450">
        <f t="shared" si="22"/>
        <v>0.025422273230964066</v>
      </c>
      <c r="O38" s="450">
        <f t="shared" si="22"/>
        <v>0.025422273230964066</v>
      </c>
      <c r="P38" s="450">
        <f>O38</f>
        <v>0.025422273230964066</v>
      </c>
      <c r="Q38" s="450">
        <f t="shared" si="13"/>
        <v>0.025422273230964066</v>
      </c>
      <c r="R38" s="450">
        <f t="shared" si="14"/>
        <v>0.025422273230964066</v>
      </c>
      <c r="S38" s="450">
        <f t="shared" si="15"/>
        <v>0.025422273230964066</v>
      </c>
      <c r="T38" s="450">
        <f t="shared" si="16"/>
        <v>0.025422273230964066</v>
      </c>
      <c r="U38" s="450">
        <f t="shared" si="17"/>
        <v>0.025422273230964066</v>
      </c>
      <c r="V38" s="450">
        <f t="shared" si="18"/>
        <v>0.025422273230964066</v>
      </c>
      <c r="W38" s="450">
        <f t="shared" si="19"/>
        <v>0.025422273230964066</v>
      </c>
      <c r="X38" s="450">
        <f t="shared" si="20"/>
        <v>0.025422273230964066</v>
      </c>
      <c r="Y38" s="846">
        <f t="shared" si="21"/>
        <v>0.025422273230964066</v>
      </c>
      <c r="Z38" s="432"/>
    </row>
    <row r="39" spans="1:26" ht="15">
      <c r="A39" s="516" t="s">
        <v>272</v>
      </c>
      <c r="B39" s="216">
        <f>B21/ECO!B$66</f>
        <v>3.3463960195499975E-05</v>
      </c>
      <c r="C39" s="216">
        <f>C21/ECO!C$66</f>
        <v>0.0005678378009034058</v>
      </c>
      <c r="D39" s="216">
        <f>D21/ECO!D$66</f>
        <v>0.0005410055042123423</v>
      </c>
      <c r="E39" s="216">
        <f>E21/ECO!E$66</f>
        <v>0.00021901583273355461</v>
      </c>
      <c r="F39" s="216">
        <f>F21/ECO!F$66</f>
        <v>0.00016932167792176143</v>
      </c>
      <c r="G39" s="216">
        <f>G21/ECO!G$66</f>
        <v>0.00023835228156224037</v>
      </c>
      <c r="H39" s="216">
        <f>H21/ECO!H$66</f>
        <v>0.001327904813672979</v>
      </c>
      <c r="I39" s="216">
        <f>I21/ECO!I$66</f>
        <v>0.0020198987476059845</v>
      </c>
      <c r="J39" s="216">
        <f>J21/ECO!J$66</f>
        <v>0.0009940084988202913</v>
      </c>
      <c r="K39" s="529">
        <f>K21/ECO!K$66</f>
        <v>0.00013835681494380242</v>
      </c>
      <c r="L39" s="450">
        <f t="shared" si="22"/>
        <v>0.00013835681494380242</v>
      </c>
      <c r="M39" s="450">
        <f t="shared" si="22"/>
        <v>0.00013835681494380242</v>
      </c>
      <c r="N39" s="450">
        <f t="shared" si="22"/>
        <v>0.00013835681494380242</v>
      </c>
      <c r="O39" s="450">
        <f t="shared" si="22"/>
        <v>0.00013835681494380242</v>
      </c>
      <c r="P39" s="450">
        <f>O39</f>
        <v>0.00013835681494380242</v>
      </c>
      <c r="Q39" s="450">
        <f t="shared" si="13"/>
        <v>0.00013835681494380242</v>
      </c>
      <c r="R39" s="450">
        <f t="shared" si="14"/>
        <v>0.00013835681494380242</v>
      </c>
      <c r="S39" s="450">
        <f t="shared" si="15"/>
        <v>0.00013835681494380242</v>
      </c>
      <c r="T39" s="450">
        <f t="shared" si="16"/>
        <v>0.00013835681494380242</v>
      </c>
      <c r="U39" s="450">
        <f t="shared" si="17"/>
        <v>0.00013835681494380242</v>
      </c>
      <c r="V39" s="450">
        <f t="shared" si="18"/>
        <v>0.00013835681494380242</v>
      </c>
      <c r="W39" s="450">
        <f t="shared" si="19"/>
        <v>0.00013835681494380242</v>
      </c>
      <c r="X39" s="450">
        <f t="shared" si="20"/>
        <v>0.00013835681494380242</v>
      </c>
      <c r="Y39" s="846">
        <f t="shared" si="21"/>
        <v>0.00013835681494380242</v>
      </c>
      <c r="Z39" s="432"/>
    </row>
    <row r="40" spans="1:26" ht="15">
      <c r="A40" s="517" t="s">
        <v>276</v>
      </c>
      <c r="B40" s="530">
        <f>B22/ECO!B$66</f>
        <v>0.05283730350931267</v>
      </c>
      <c r="C40" s="530">
        <f>C22/ECO!C$66</f>
        <v>0.05001772400212592</v>
      </c>
      <c r="D40" s="430">
        <f>D22/ECO!D$66</f>
        <v>0.0393935863645141</v>
      </c>
      <c r="E40" s="430">
        <f>E22/ECO!E$66</f>
        <v>0.03547629079137505</v>
      </c>
      <c r="F40" s="430">
        <f>F22/ECO!F$66</f>
        <v>0.03491403031319028</v>
      </c>
      <c r="G40" s="430">
        <f>G22/ECO!G$66</f>
        <v>0.03291949335145966</v>
      </c>
      <c r="H40" s="430">
        <f>H22/ECO!H$66</f>
        <v>0.03007180514694216</v>
      </c>
      <c r="I40" s="430">
        <f>I22/ECO!I$66</f>
        <v>0.03162731713337938</v>
      </c>
      <c r="J40" s="430">
        <f>J22/ECO!J$66</f>
        <v>0.029001338824409813</v>
      </c>
      <c r="K40" s="487">
        <f>K22/ECO!K$66</f>
        <v>0.02556063004590787</v>
      </c>
      <c r="L40" s="434">
        <f t="shared" si="22"/>
        <v>0.02556063004590787</v>
      </c>
      <c r="M40" s="434">
        <f t="shared" si="22"/>
        <v>0.02556063004590787</v>
      </c>
      <c r="N40" s="434">
        <f t="shared" si="22"/>
        <v>0.02556063004590787</v>
      </c>
      <c r="O40" s="434">
        <f t="shared" si="22"/>
        <v>0.02556063004590787</v>
      </c>
      <c r="P40" s="434">
        <f>O40</f>
        <v>0.02556063004590787</v>
      </c>
      <c r="Q40" s="434">
        <f t="shared" si="13"/>
        <v>0.02556063004590787</v>
      </c>
      <c r="R40" s="434">
        <f t="shared" si="14"/>
        <v>0.02556063004590787</v>
      </c>
      <c r="S40" s="434">
        <f t="shared" si="15"/>
        <v>0.02556063004590787</v>
      </c>
      <c r="T40" s="434">
        <f t="shared" si="16"/>
        <v>0.02556063004590787</v>
      </c>
      <c r="U40" s="434">
        <f t="shared" si="17"/>
        <v>0.02556063004590787</v>
      </c>
      <c r="V40" s="434">
        <f t="shared" si="18"/>
        <v>0.02556063004590787</v>
      </c>
      <c r="W40" s="434">
        <f t="shared" si="19"/>
        <v>0.02556063004590787</v>
      </c>
      <c r="X40" s="434">
        <f t="shared" si="20"/>
        <v>0.02556063004590787</v>
      </c>
      <c r="Y40" s="931">
        <f t="shared" si="21"/>
        <v>0.02556063004590787</v>
      </c>
      <c r="Z40" s="432"/>
    </row>
    <row r="41" spans="1:26" ht="15">
      <c r="A41" s="533" t="s">
        <v>273</v>
      </c>
      <c r="B41" s="534">
        <f>B23/ECO!B$66</f>
        <v>0.0003006472634406235</v>
      </c>
      <c r="C41" s="534">
        <f>C23/ECO!C$66</f>
        <v>2.0889287255924227E-05</v>
      </c>
      <c r="D41" s="431">
        <f>D23/ECO!D$66</f>
        <v>0.0014145357109333165</v>
      </c>
      <c r="E41" s="431">
        <f>E23/ECO!E$66</f>
        <v>0.0018641601895529577</v>
      </c>
      <c r="F41" s="431">
        <f>F23/ECO!F$66</f>
        <v>0.0006309381729181751</v>
      </c>
      <c r="G41" s="431">
        <f>G23/ECO!G$66</f>
        <v>0.0010282690692932066</v>
      </c>
      <c r="H41" s="431">
        <f>H23/ECO!H$66</f>
        <v>0.0018601382117205089</v>
      </c>
      <c r="I41" s="431">
        <f>I23/ECO!I$66</f>
        <v>0.0025954847028164807</v>
      </c>
      <c r="J41" s="431">
        <f>J23/ECO!J$66</f>
        <v>0.0014397060110973225</v>
      </c>
      <c r="K41" s="532">
        <f>K23/ECO!K$66</f>
        <v>0.0010602342884280512</v>
      </c>
      <c r="L41" s="220">
        <f t="shared" si="22"/>
        <v>0.0010602342884280512</v>
      </c>
      <c r="M41" s="220">
        <f t="shared" si="22"/>
        <v>0.0010602342884280512</v>
      </c>
      <c r="N41" s="220">
        <f t="shared" si="22"/>
        <v>0.0010602342884280512</v>
      </c>
      <c r="O41" s="220">
        <f t="shared" si="22"/>
        <v>0.0010602342884280512</v>
      </c>
      <c r="P41" s="220">
        <f>O41</f>
        <v>0.0010602342884280512</v>
      </c>
      <c r="Q41" s="220">
        <f t="shared" si="13"/>
        <v>0.0010602342884280512</v>
      </c>
      <c r="R41" s="220">
        <f t="shared" si="14"/>
        <v>0.0010602342884280512</v>
      </c>
      <c r="S41" s="220">
        <f t="shared" si="15"/>
        <v>0.0010602342884280512</v>
      </c>
      <c r="T41" s="220">
        <f t="shared" si="16"/>
        <v>0.0010602342884280512</v>
      </c>
      <c r="U41" s="220">
        <f t="shared" si="17"/>
        <v>0.0010602342884280512</v>
      </c>
      <c r="V41" s="220">
        <f t="shared" si="18"/>
        <v>0.0010602342884280512</v>
      </c>
      <c r="W41" s="220">
        <f t="shared" si="19"/>
        <v>0.0010602342884280512</v>
      </c>
      <c r="X41" s="220">
        <f t="shared" si="20"/>
        <v>0.0010602342884280512</v>
      </c>
      <c r="Y41" s="932">
        <f t="shared" si="21"/>
        <v>0.0010602342884280512</v>
      </c>
      <c r="Z41" s="432"/>
    </row>
    <row r="42" spans="1:26" ht="15">
      <c r="A42" s="29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432"/>
    </row>
    <row r="43" spans="1:26" ht="15">
      <c r="A43" s="297" t="s">
        <v>215</v>
      </c>
      <c r="B43" s="298"/>
      <c r="C43" s="298"/>
      <c r="D43" s="299"/>
      <c r="E43" s="299"/>
      <c r="F43" s="299"/>
      <c r="G43" s="299"/>
      <c r="H43" s="299"/>
      <c r="I43" s="299"/>
      <c r="J43" s="298"/>
      <c r="K43" s="300"/>
      <c r="L43" s="300"/>
      <c r="M43" s="300"/>
      <c r="N43" s="300"/>
      <c r="O43" s="300"/>
      <c r="P43" s="300"/>
      <c r="Q43" s="300"/>
      <c r="R43" s="300"/>
      <c r="S43" s="300"/>
      <c r="T43" s="300"/>
      <c r="U43" s="300"/>
      <c r="V43" s="300"/>
      <c r="W43" s="300"/>
      <c r="X43" s="300"/>
      <c r="Y43" s="300"/>
      <c r="Z43" s="432"/>
    </row>
    <row r="44" spans="1:26" ht="15">
      <c r="A44" s="536" t="s">
        <v>209</v>
      </c>
      <c r="B44" s="537">
        <v>143.327</v>
      </c>
      <c r="C44" s="537">
        <v>-10.633</v>
      </c>
      <c r="D44" s="537">
        <v>42.946</v>
      </c>
      <c r="E44" s="537">
        <v>169.31</v>
      </c>
      <c r="F44" s="537">
        <v>77.366</v>
      </c>
      <c r="G44" s="537">
        <v>218.598</v>
      </c>
      <c r="H44" s="537">
        <v>64.103</v>
      </c>
      <c r="I44" s="537">
        <v>468.126</v>
      </c>
      <c r="J44" s="537">
        <v>402.939</v>
      </c>
      <c r="K44" s="547">
        <v>162.667</v>
      </c>
      <c r="L44" s="344"/>
      <c r="M44" s="344"/>
      <c r="N44" s="344"/>
      <c r="O44" s="344"/>
      <c r="P44" s="344"/>
      <c r="Q44" s="344"/>
      <c r="R44" s="344"/>
      <c r="S44" s="344"/>
      <c r="T44" s="344"/>
      <c r="U44" s="344"/>
      <c r="V44" s="344"/>
      <c r="W44" s="344"/>
      <c r="X44" s="344"/>
      <c r="Y44" s="345"/>
      <c r="Z44" s="1086" t="s">
        <v>305</v>
      </c>
    </row>
    <row r="45" spans="1:26" ht="15">
      <c r="A45" s="516" t="s">
        <v>210</v>
      </c>
      <c r="B45" s="538">
        <v>253.492</v>
      </c>
      <c r="C45" s="538">
        <v>380.939</v>
      </c>
      <c r="D45" s="538">
        <v>284.017</v>
      </c>
      <c r="E45" s="538">
        <v>259.951</v>
      </c>
      <c r="F45" s="538">
        <v>244.532</v>
      </c>
      <c r="G45" s="538">
        <v>271.246</v>
      </c>
      <c r="H45" s="538">
        <v>300.595</v>
      </c>
      <c r="I45" s="538">
        <v>330.401</v>
      </c>
      <c r="J45" s="538">
        <v>117.995</v>
      </c>
      <c r="K45" s="548">
        <v>103.455</v>
      </c>
      <c r="L45" s="306"/>
      <c r="M45" s="306"/>
      <c r="N45" s="306"/>
      <c r="O45" s="306"/>
      <c r="P45" s="306"/>
      <c r="Q45" s="306"/>
      <c r="R45" s="306"/>
      <c r="S45" s="306"/>
      <c r="T45" s="306"/>
      <c r="U45" s="306"/>
      <c r="V45" s="306"/>
      <c r="W45" s="306"/>
      <c r="X45" s="306"/>
      <c r="Y45" s="307"/>
      <c r="Z45" s="1086"/>
    </row>
    <row r="46" spans="1:26" ht="15">
      <c r="A46" s="517" t="s">
        <v>212</v>
      </c>
      <c r="B46" s="539">
        <f aca="true" t="shared" si="23" ref="B46:H46">SUM(B44:B45)</f>
        <v>396.81899999999996</v>
      </c>
      <c r="C46" s="539">
        <f t="shared" si="23"/>
        <v>370.30600000000004</v>
      </c>
      <c r="D46" s="539">
        <f t="shared" si="23"/>
        <v>326.96299999999997</v>
      </c>
      <c r="E46" s="539">
        <f t="shared" si="23"/>
        <v>429.261</v>
      </c>
      <c r="F46" s="539">
        <f t="shared" si="23"/>
        <v>321.898</v>
      </c>
      <c r="G46" s="539">
        <f t="shared" si="23"/>
        <v>489.844</v>
      </c>
      <c r="H46" s="539">
        <f t="shared" si="23"/>
        <v>364.69800000000004</v>
      </c>
      <c r="I46" s="539">
        <f>SUM(I44:I45)</f>
        <v>798.527</v>
      </c>
      <c r="J46" s="539">
        <f>SUM(J44:J45)</f>
        <v>520.934</v>
      </c>
      <c r="K46" s="549">
        <f>SUM(K44:K45)</f>
        <v>266.122</v>
      </c>
      <c r="L46" s="302"/>
      <c r="M46" s="302"/>
      <c r="N46" s="302"/>
      <c r="O46" s="302"/>
      <c r="P46" s="302"/>
      <c r="Q46" s="302"/>
      <c r="R46" s="302"/>
      <c r="S46" s="302"/>
      <c r="T46" s="302"/>
      <c r="U46" s="302"/>
      <c r="V46" s="302"/>
      <c r="W46" s="302"/>
      <c r="X46" s="302"/>
      <c r="Y46" s="303"/>
      <c r="Z46" s="1086"/>
    </row>
    <row r="47" spans="1:26" ht="15">
      <c r="A47" s="349" t="s">
        <v>211</v>
      </c>
      <c r="B47" s="550">
        <v>92.665</v>
      </c>
      <c r="C47" s="551">
        <v>120.754</v>
      </c>
      <c r="D47" s="538">
        <v>56.162</v>
      </c>
      <c r="E47" s="538">
        <v>-9.202</v>
      </c>
      <c r="F47" s="538">
        <v>152.477</v>
      </c>
      <c r="G47" s="538">
        <v>133.048</v>
      </c>
      <c r="H47" s="538">
        <v>51.16</v>
      </c>
      <c r="I47" s="538">
        <v>70.046</v>
      </c>
      <c r="J47" s="538">
        <v>-83.821</v>
      </c>
      <c r="K47" s="548">
        <v>12.572</v>
      </c>
      <c r="L47" s="306"/>
      <c r="M47" s="306"/>
      <c r="N47" s="306"/>
      <c r="O47" s="306"/>
      <c r="P47" s="306"/>
      <c r="Q47" s="306"/>
      <c r="R47" s="306"/>
      <c r="S47" s="306"/>
      <c r="T47" s="306"/>
      <c r="U47" s="306"/>
      <c r="V47" s="306"/>
      <c r="W47" s="306"/>
      <c r="X47" s="306"/>
      <c r="Y47" s="307"/>
      <c r="Z47" s="1086"/>
    </row>
    <row r="48" spans="1:26" ht="15">
      <c r="A48" s="349" t="s">
        <v>210</v>
      </c>
      <c r="B48" s="550">
        <v>125.652</v>
      </c>
      <c r="C48" s="551">
        <v>163.327</v>
      </c>
      <c r="D48" s="538">
        <v>62.252</v>
      </c>
      <c r="E48" s="538">
        <v>80.513</v>
      </c>
      <c r="F48" s="538">
        <v>98.889</v>
      </c>
      <c r="G48" s="538">
        <v>124.309</v>
      </c>
      <c r="H48" s="538">
        <v>143.159</v>
      </c>
      <c r="I48" s="538">
        <v>86.574</v>
      </c>
      <c r="J48" s="538">
        <v>117.588</v>
      </c>
      <c r="K48" s="548">
        <v>90.367</v>
      </c>
      <c r="L48" s="306"/>
      <c r="M48" s="306"/>
      <c r="N48" s="306"/>
      <c r="O48" s="306"/>
      <c r="P48" s="306"/>
      <c r="Q48" s="306"/>
      <c r="R48" s="306"/>
      <c r="S48" s="306"/>
      <c r="T48" s="306"/>
      <c r="U48" s="306"/>
      <c r="V48" s="306"/>
      <c r="W48" s="306"/>
      <c r="X48" s="306"/>
      <c r="Y48" s="307"/>
      <c r="Z48" s="1086"/>
    </row>
    <row r="49" spans="1:26" ht="15">
      <c r="A49" s="517" t="s">
        <v>213</v>
      </c>
      <c r="B49" s="539">
        <f>SUM(B47:B48)</f>
        <v>218.317</v>
      </c>
      <c r="C49" s="539">
        <f aca="true" t="shared" si="24" ref="C49:K49">SUM(C47:C48)</f>
        <v>284.081</v>
      </c>
      <c r="D49" s="539">
        <f t="shared" si="24"/>
        <v>118.414</v>
      </c>
      <c r="E49" s="539">
        <f t="shared" si="24"/>
        <v>71.311</v>
      </c>
      <c r="F49" s="539">
        <f t="shared" si="24"/>
        <v>251.36599999999999</v>
      </c>
      <c r="G49" s="539">
        <f t="shared" si="24"/>
        <v>257.35699999999997</v>
      </c>
      <c r="H49" s="539">
        <f t="shared" si="24"/>
        <v>194.319</v>
      </c>
      <c r="I49" s="539">
        <f t="shared" si="24"/>
        <v>156.62</v>
      </c>
      <c r="J49" s="539">
        <f t="shared" si="24"/>
        <v>33.766999999999996</v>
      </c>
      <c r="K49" s="549">
        <f t="shared" si="24"/>
        <v>102.93900000000001</v>
      </c>
      <c r="L49" s="302"/>
      <c r="M49" s="302"/>
      <c r="N49" s="302"/>
      <c r="O49" s="302"/>
      <c r="P49" s="302"/>
      <c r="Q49" s="302"/>
      <c r="R49" s="302"/>
      <c r="S49" s="302"/>
      <c r="T49" s="302"/>
      <c r="U49" s="302"/>
      <c r="V49" s="302"/>
      <c r="W49" s="302"/>
      <c r="X49" s="302"/>
      <c r="Y49" s="303"/>
      <c r="Z49" s="1086"/>
    </row>
    <row r="50" spans="1:26" s="133" customFormat="1" ht="15">
      <c r="A50" s="527" t="s">
        <v>184</v>
      </c>
      <c r="B50" s="540">
        <f>SUM(B46,B49)</f>
        <v>615.136</v>
      </c>
      <c r="C50" s="540">
        <f aca="true" t="shared" si="25" ref="C50:H50">SUM(C46,C49)</f>
        <v>654.3870000000001</v>
      </c>
      <c r="D50" s="540">
        <f t="shared" si="25"/>
        <v>445.37699999999995</v>
      </c>
      <c r="E50" s="540">
        <f t="shared" si="25"/>
        <v>500.572</v>
      </c>
      <c r="F50" s="540">
        <f t="shared" si="25"/>
        <v>573.264</v>
      </c>
      <c r="G50" s="540">
        <f t="shared" si="25"/>
        <v>747.201</v>
      </c>
      <c r="H50" s="540">
        <f t="shared" si="25"/>
        <v>559.017</v>
      </c>
      <c r="I50" s="540">
        <f>SUM(I46,I49)</f>
        <v>955.147</v>
      </c>
      <c r="J50" s="540">
        <f>SUM(J46,J49)</f>
        <v>554.701</v>
      </c>
      <c r="K50" s="541">
        <f>SUM(K46,K49)</f>
        <v>369.06100000000004</v>
      </c>
      <c r="L50" s="341"/>
      <c r="M50" s="341"/>
      <c r="N50" s="341"/>
      <c r="O50" s="341"/>
      <c r="P50" s="341"/>
      <c r="Q50" s="341"/>
      <c r="R50" s="341"/>
      <c r="S50" s="341"/>
      <c r="T50" s="341"/>
      <c r="U50" s="341"/>
      <c r="V50" s="341"/>
      <c r="W50" s="341"/>
      <c r="X50" s="341"/>
      <c r="Y50" s="342"/>
      <c r="Z50" s="1086"/>
    </row>
    <row r="51" spans="1:26" s="133" customFormat="1" ht="15">
      <c r="A51" s="553" t="s">
        <v>277</v>
      </c>
      <c r="B51" s="542">
        <f>B50/ECO!B66</f>
        <v>0.10834150852010038</v>
      </c>
      <c r="C51" s="542">
        <f>C50/ECO!C66</f>
        <v>0.10434868717208005</v>
      </c>
      <c r="D51" s="542">
        <f>D50/ECO!D66</f>
        <v>0.06461555603367668</v>
      </c>
      <c r="E51" s="542">
        <f>E50/ECO!E66</f>
        <v>0.0648333491561803</v>
      </c>
      <c r="F51" s="542">
        <f>F50/ECO!F66</f>
        <v>0.07142459335698355</v>
      </c>
      <c r="G51" s="542">
        <f>G50/ECO!G66</f>
        <v>0.082990243772408</v>
      </c>
      <c r="H51" s="542">
        <f>H50/ECO!H66</f>
        <v>0.05759340253123034</v>
      </c>
      <c r="I51" s="542">
        <f>I50/ECO!I66</f>
        <v>0.09040769583315901</v>
      </c>
      <c r="J51" s="542">
        <f>J50/ECO!J66</f>
        <v>0.048033583788144825</v>
      </c>
      <c r="K51" s="552">
        <f>K50/ECO!K66</f>
        <v>0.02921173025170176</v>
      </c>
      <c r="L51" s="341"/>
      <c r="M51" s="341"/>
      <c r="N51" s="341"/>
      <c r="O51" s="341"/>
      <c r="P51" s="341"/>
      <c r="Q51" s="341"/>
      <c r="R51" s="341"/>
      <c r="S51" s="341"/>
      <c r="T51" s="341"/>
      <c r="U51" s="341"/>
      <c r="V51" s="341"/>
      <c r="W51" s="341"/>
      <c r="X51" s="341"/>
      <c r="Y51" s="342"/>
      <c r="Z51" s="1086"/>
    </row>
    <row r="52" spans="1:26" ht="15">
      <c r="A52" s="346"/>
      <c r="B52" s="543"/>
      <c r="C52" s="544"/>
      <c r="D52" s="544"/>
      <c r="E52" s="544"/>
      <c r="F52" s="544"/>
      <c r="G52" s="544"/>
      <c r="H52" s="544"/>
      <c r="I52" s="544"/>
      <c r="J52" s="545"/>
      <c r="K52" s="546"/>
      <c r="L52" s="296"/>
      <c r="M52" s="296"/>
      <c r="N52" s="296"/>
      <c r="O52" s="296"/>
      <c r="P52" s="296"/>
      <c r="Q52" s="296"/>
      <c r="R52" s="296"/>
      <c r="S52" s="296"/>
      <c r="T52" s="296"/>
      <c r="U52" s="296"/>
      <c r="V52" s="296"/>
      <c r="W52" s="296"/>
      <c r="X52" s="296"/>
      <c r="Y52" s="343"/>
      <c r="Z52" s="1086"/>
    </row>
    <row r="53" spans="1:26" s="126" customFormat="1" ht="15">
      <c r="A53" s="528" t="s">
        <v>408</v>
      </c>
      <c r="B53" s="574">
        <f>B26+B50</f>
        <v>468.35799999999995</v>
      </c>
      <c r="C53" s="574">
        <f>C26+C50</f>
        <v>589.5959999999999</v>
      </c>
      <c r="D53" s="574">
        <f>D26+D50</f>
        <v>432.93600000000015</v>
      </c>
      <c r="E53" s="574">
        <f aca="true" t="shared" si="26" ref="E53:K53">E26+E50</f>
        <v>432.45500000000027</v>
      </c>
      <c r="F53" s="574">
        <f t="shared" si="26"/>
        <v>274.7320000000001</v>
      </c>
      <c r="G53" s="574">
        <f t="shared" si="26"/>
        <v>432.74599999999987</v>
      </c>
      <c r="H53" s="574">
        <f t="shared" si="26"/>
        <v>361.2630000000004</v>
      </c>
      <c r="I53" s="574">
        <f t="shared" si="26"/>
        <v>712.3199999999998</v>
      </c>
      <c r="J53" s="574">
        <f t="shared" si="26"/>
        <v>390.6390000000001</v>
      </c>
      <c r="K53" s="575">
        <f t="shared" si="26"/>
        <v>295.96899999999994</v>
      </c>
      <c r="L53" s="421"/>
      <c r="M53" s="421"/>
      <c r="N53" s="421"/>
      <c r="O53" s="421"/>
      <c r="P53" s="421"/>
      <c r="Q53" s="421"/>
      <c r="R53" s="421"/>
      <c r="S53" s="421"/>
      <c r="T53" s="421"/>
      <c r="U53" s="421"/>
      <c r="V53" s="421"/>
      <c r="W53" s="421"/>
      <c r="X53" s="421"/>
      <c r="Y53" s="422"/>
      <c r="Z53" s="1086"/>
    </row>
    <row r="54" spans="1:25" ht="15">
      <c r="A54" s="294"/>
      <c r="B54" s="295"/>
      <c r="C54" s="295"/>
      <c r="D54" s="295"/>
      <c r="E54" s="295"/>
      <c r="F54" s="295"/>
      <c r="G54" s="295"/>
      <c r="H54" s="295"/>
      <c r="I54" s="295"/>
      <c r="J54" s="296"/>
      <c r="K54" s="296"/>
      <c r="L54" s="296"/>
      <c r="M54" s="296"/>
      <c r="N54" s="296"/>
      <c r="O54" s="296"/>
      <c r="P54" s="296"/>
      <c r="Q54" s="296"/>
      <c r="R54" s="296"/>
      <c r="S54" s="296"/>
      <c r="T54" s="296"/>
      <c r="U54" s="296"/>
      <c r="V54" s="296"/>
      <c r="W54" s="296"/>
      <c r="X54" s="296"/>
      <c r="Y54" s="296"/>
    </row>
    <row r="55" spans="1:25" ht="15">
      <c r="A55" s="297" t="s">
        <v>216</v>
      </c>
      <c r="B55" s="295"/>
      <c r="C55" s="295"/>
      <c r="D55" s="295"/>
      <c r="E55" s="295"/>
      <c r="F55" s="295"/>
      <c r="G55" s="295"/>
      <c r="H55" s="295"/>
      <c r="I55" s="295"/>
      <c r="J55" s="296"/>
      <c r="K55" s="296"/>
      <c r="L55" s="296"/>
      <c r="M55" s="296"/>
      <c r="N55" s="296"/>
      <c r="O55" s="296"/>
      <c r="P55" s="296"/>
      <c r="Q55" s="296"/>
      <c r="R55" s="296"/>
      <c r="S55" s="296"/>
      <c r="T55" s="296"/>
      <c r="U55" s="296"/>
      <c r="V55" s="296"/>
      <c r="W55" s="296"/>
      <c r="X55" s="296"/>
      <c r="Y55" s="296"/>
    </row>
    <row r="56" spans="1:26" ht="15">
      <c r="A56" s="356" t="s">
        <v>217</v>
      </c>
      <c r="B56" s="554">
        <v>47.483</v>
      </c>
      <c r="C56" s="555">
        <v>52.544</v>
      </c>
      <c r="D56" s="555">
        <v>61.829</v>
      </c>
      <c r="E56" s="555">
        <v>68.879</v>
      </c>
      <c r="F56" s="555">
        <v>72.351</v>
      </c>
      <c r="G56" s="555">
        <v>79.273</v>
      </c>
      <c r="H56" s="555">
        <v>85.972</v>
      </c>
      <c r="I56" s="555">
        <v>94.21</v>
      </c>
      <c r="J56" s="555">
        <v>103.00862</v>
      </c>
      <c r="K56" s="556"/>
      <c r="L56" s="311"/>
      <c r="M56" s="311"/>
      <c r="N56" s="311"/>
      <c r="O56" s="311"/>
      <c r="P56" s="311"/>
      <c r="Q56" s="311"/>
      <c r="R56" s="311"/>
      <c r="S56" s="311"/>
      <c r="T56" s="311"/>
      <c r="U56" s="311"/>
      <c r="V56" s="311"/>
      <c r="W56" s="311"/>
      <c r="X56" s="311"/>
      <c r="Y56" s="312"/>
      <c r="Z56" s="1098" t="s">
        <v>278</v>
      </c>
    </row>
    <row r="57" spans="1:26" ht="15">
      <c r="A57" s="569" t="s">
        <v>218</v>
      </c>
      <c r="B57" s="551">
        <v>42.950527307</v>
      </c>
      <c r="C57" s="551">
        <v>39.539715076</v>
      </c>
      <c r="D57" s="551">
        <v>40.805051298</v>
      </c>
      <c r="E57" s="551">
        <v>44.047930555</v>
      </c>
      <c r="F57" s="551">
        <v>56.318805779</v>
      </c>
      <c r="G57" s="551">
        <v>63.565936093</v>
      </c>
      <c r="H57" s="551">
        <v>70.218838699</v>
      </c>
      <c r="I57" s="551">
        <v>80.387170384</v>
      </c>
      <c r="J57" s="551">
        <v>83.728095231</v>
      </c>
      <c r="K57" s="559"/>
      <c r="L57" s="308"/>
      <c r="M57" s="308"/>
      <c r="N57" s="308"/>
      <c r="O57" s="308"/>
      <c r="P57" s="308"/>
      <c r="Q57" s="308"/>
      <c r="R57" s="308"/>
      <c r="S57" s="308"/>
      <c r="T57" s="308"/>
      <c r="U57" s="308"/>
      <c r="V57" s="308"/>
      <c r="W57" s="308"/>
      <c r="X57" s="308"/>
      <c r="Y57" s="309"/>
      <c r="Z57" s="1098"/>
    </row>
    <row r="58" spans="1:26" ht="15">
      <c r="A58" s="348" t="s">
        <v>219</v>
      </c>
      <c r="B58" s="560">
        <f>SUM(B56,B57)</f>
        <v>90.43352730699999</v>
      </c>
      <c r="C58" s="539">
        <f aca="true" t="shared" si="27" ref="C58:J58">SUM(C56,C57)</f>
        <v>92.083715076</v>
      </c>
      <c r="D58" s="539">
        <f t="shared" si="27"/>
        <v>102.634051298</v>
      </c>
      <c r="E58" s="539">
        <f t="shared" si="27"/>
        <v>112.92693055500001</v>
      </c>
      <c r="F58" s="539">
        <f t="shared" si="27"/>
        <v>128.669805779</v>
      </c>
      <c r="G58" s="539">
        <f t="shared" si="27"/>
        <v>142.838936093</v>
      </c>
      <c r="H58" s="539">
        <f t="shared" si="27"/>
        <v>156.19083869899998</v>
      </c>
      <c r="I58" s="539">
        <f t="shared" si="27"/>
        <v>174.59717038399998</v>
      </c>
      <c r="J58" s="539">
        <f t="shared" si="27"/>
        <v>186.736715231</v>
      </c>
      <c r="K58" s="549"/>
      <c r="L58" s="308"/>
      <c r="M58" s="308"/>
      <c r="N58" s="308"/>
      <c r="O58" s="308"/>
      <c r="P58" s="308"/>
      <c r="Q58" s="308"/>
      <c r="R58" s="308"/>
      <c r="S58" s="308"/>
      <c r="T58" s="308"/>
      <c r="U58" s="308"/>
      <c r="V58" s="308"/>
      <c r="W58" s="308"/>
      <c r="X58" s="308"/>
      <c r="Y58" s="309"/>
      <c r="Z58" s="1098"/>
    </row>
    <row r="59" spans="1:25" ht="15">
      <c r="A59" s="354" t="s">
        <v>220</v>
      </c>
      <c r="B59" s="557"/>
      <c r="C59" s="558"/>
      <c r="D59" s="558"/>
      <c r="E59" s="558"/>
      <c r="F59" s="558"/>
      <c r="G59" s="558"/>
      <c r="H59" s="558"/>
      <c r="I59" s="558"/>
      <c r="J59" s="558"/>
      <c r="K59" s="561"/>
      <c r="L59" s="310"/>
      <c r="M59" s="310"/>
      <c r="N59" s="308"/>
      <c r="O59" s="308"/>
      <c r="P59" s="308"/>
      <c r="Q59" s="308"/>
      <c r="R59" s="308"/>
      <c r="S59" s="308"/>
      <c r="T59" s="308"/>
      <c r="U59" s="308"/>
      <c r="V59" s="308"/>
      <c r="W59" s="308"/>
      <c r="X59" s="308"/>
      <c r="Y59" s="309"/>
    </row>
    <row r="60" spans="1:25" ht="15">
      <c r="A60" s="354" t="s">
        <v>221</v>
      </c>
      <c r="B60" s="291"/>
      <c r="C60" s="292"/>
      <c r="D60" s="292"/>
      <c r="E60" s="292"/>
      <c r="F60" s="292"/>
      <c r="G60" s="292"/>
      <c r="H60" s="292"/>
      <c r="I60" s="292"/>
      <c r="J60" s="292"/>
      <c r="K60" s="293"/>
      <c r="L60" s="310"/>
      <c r="M60" s="310"/>
      <c r="N60" s="308"/>
      <c r="O60" s="308"/>
      <c r="P60" s="308"/>
      <c r="Q60" s="308"/>
      <c r="R60" s="308"/>
      <c r="S60" s="308"/>
      <c r="T60" s="308"/>
      <c r="U60" s="308"/>
      <c r="V60" s="308"/>
      <c r="W60" s="308"/>
      <c r="X60" s="308"/>
      <c r="Y60" s="309"/>
    </row>
    <row r="61" spans="1:25" ht="15">
      <c r="A61" s="355" t="s">
        <v>222</v>
      </c>
      <c r="B61" s="289"/>
      <c r="C61" s="290"/>
      <c r="D61" s="290"/>
      <c r="E61" s="290"/>
      <c r="F61" s="290"/>
      <c r="G61" s="290"/>
      <c r="H61" s="290"/>
      <c r="I61" s="290"/>
      <c r="J61" s="290"/>
      <c r="K61" s="286"/>
      <c r="L61" s="308"/>
      <c r="M61" s="308"/>
      <c r="N61" s="308"/>
      <c r="O61" s="308"/>
      <c r="P61" s="308"/>
      <c r="Q61" s="308"/>
      <c r="R61" s="308"/>
      <c r="S61" s="308"/>
      <c r="T61" s="308"/>
      <c r="U61" s="308"/>
      <c r="V61" s="308"/>
      <c r="W61" s="308"/>
      <c r="X61" s="308"/>
      <c r="Y61" s="309"/>
    </row>
    <row r="62" spans="1:26" ht="13.5" customHeight="1">
      <c r="A62" s="354" t="s">
        <v>307</v>
      </c>
      <c r="B62" s="550"/>
      <c r="C62" s="551"/>
      <c r="D62" s="538">
        <v>17.869</v>
      </c>
      <c r="E62" s="538">
        <v>27.592</v>
      </c>
      <c r="F62" s="538">
        <v>21.87</v>
      </c>
      <c r="G62" s="538">
        <v>27.338</v>
      </c>
      <c r="H62" s="538">
        <v>29.01</v>
      </c>
      <c r="I62" s="538">
        <v>33.181</v>
      </c>
      <c r="J62" s="538">
        <v>30.408792996</v>
      </c>
      <c r="K62" s="548"/>
      <c r="L62" s="308"/>
      <c r="M62" s="308"/>
      <c r="N62" s="308"/>
      <c r="O62" s="308"/>
      <c r="P62" s="308"/>
      <c r="Q62" s="308"/>
      <c r="R62" s="308"/>
      <c r="S62" s="308"/>
      <c r="T62" s="308"/>
      <c r="U62" s="308"/>
      <c r="V62" s="308"/>
      <c r="W62" s="308"/>
      <c r="X62" s="308"/>
      <c r="Y62" s="309"/>
      <c r="Z62" s="1098" t="s">
        <v>306</v>
      </c>
    </row>
    <row r="63" spans="1:26" ht="15">
      <c r="A63" s="569" t="s">
        <v>308</v>
      </c>
      <c r="B63" s="550">
        <f>29.245982534+0.569414772</f>
        <v>29.815397306</v>
      </c>
      <c r="C63" s="551">
        <f>33.5553057991-4.247158039</f>
        <v>29.3081477601</v>
      </c>
      <c r="D63" s="538">
        <v>35.139823914</v>
      </c>
      <c r="E63" s="538">
        <v>41.81239504</v>
      </c>
      <c r="F63" s="538">
        <v>33.648724</v>
      </c>
      <c r="G63" s="538">
        <v>32.346599</v>
      </c>
      <c r="H63" s="538">
        <v>51.096568</v>
      </c>
      <c r="I63" s="538">
        <v>55.056399564</v>
      </c>
      <c r="J63" s="538">
        <v>54.267415383</v>
      </c>
      <c r="K63" s="548"/>
      <c r="L63" s="308"/>
      <c r="M63" s="308"/>
      <c r="N63" s="308"/>
      <c r="O63" s="308"/>
      <c r="P63" s="308"/>
      <c r="Q63" s="308"/>
      <c r="R63" s="308"/>
      <c r="S63" s="308"/>
      <c r="T63" s="308"/>
      <c r="U63" s="308"/>
      <c r="V63" s="308"/>
      <c r="W63" s="308"/>
      <c r="X63" s="308"/>
      <c r="Y63" s="309"/>
      <c r="Z63" s="1098"/>
    </row>
    <row r="64" spans="1:26" ht="15">
      <c r="A64" s="576" t="s">
        <v>223</v>
      </c>
      <c r="B64" s="570">
        <f aca="true" t="shared" si="28" ref="B64:J64">SUM(B62:B63)</f>
        <v>29.815397306</v>
      </c>
      <c r="C64" s="570">
        <f t="shared" si="28"/>
        <v>29.3081477601</v>
      </c>
      <c r="D64" s="570">
        <f t="shared" si="28"/>
        <v>53.008823914</v>
      </c>
      <c r="E64" s="570">
        <f t="shared" si="28"/>
        <v>69.40439504</v>
      </c>
      <c r="F64" s="570">
        <f t="shared" si="28"/>
        <v>55.518724000000006</v>
      </c>
      <c r="G64" s="570">
        <f t="shared" si="28"/>
        <v>59.684599</v>
      </c>
      <c r="H64" s="570">
        <f t="shared" si="28"/>
        <v>80.106568</v>
      </c>
      <c r="I64" s="570">
        <f t="shared" si="28"/>
        <v>88.237399564</v>
      </c>
      <c r="J64" s="570">
        <f t="shared" si="28"/>
        <v>84.676208379</v>
      </c>
      <c r="K64" s="571"/>
      <c r="L64" s="308"/>
      <c r="M64" s="308"/>
      <c r="N64" s="308"/>
      <c r="O64" s="308"/>
      <c r="P64" s="308"/>
      <c r="Q64" s="308"/>
      <c r="R64" s="308"/>
      <c r="S64" s="308"/>
      <c r="T64" s="308"/>
      <c r="U64" s="308"/>
      <c r="V64" s="308"/>
      <c r="W64" s="308"/>
      <c r="X64" s="308"/>
      <c r="Y64" s="309"/>
      <c r="Z64" s="1098"/>
    </row>
    <row r="65" spans="1:26" ht="14.25" customHeight="1">
      <c r="A65" s="569" t="s">
        <v>225</v>
      </c>
      <c r="B65" s="551"/>
      <c r="C65" s="551"/>
      <c r="D65" s="572" t="s">
        <v>309</v>
      </c>
      <c r="E65" s="551">
        <v>1.497</v>
      </c>
      <c r="F65" s="551">
        <v>1.115</v>
      </c>
      <c r="G65" s="551">
        <v>0.51</v>
      </c>
      <c r="H65" s="551">
        <v>0.856</v>
      </c>
      <c r="I65" s="551">
        <v>0.709876728</v>
      </c>
      <c r="J65" s="551">
        <v>3.978877659</v>
      </c>
      <c r="K65" s="559"/>
      <c r="L65" s="308"/>
      <c r="M65" s="308"/>
      <c r="N65" s="308"/>
      <c r="O65" s="308"/>
      <c r="P65" s="308"/>
      <c r="Q65" s="308"/>
      <c r="R65" s="308"/>
      <c r="S65" s="308"/>
      <c r="T65" s="308"/>
      <c r="U65" s="308"/>
      <c r="V65" s="308"/>
      <c r="W65" s="308"/>
      <c r="X65" s="308"/>
      <c r="Y65" s="309"/>
      <c r="Z65" s="1098" t="s">
        <v>241</v>
      </c>
    </row>
    <row r="66" spans="1:26" ht="15">
      <c r="A66" s="569" t="s">
        <v>226</v>
      </c>
      <c r="B66" s="550">
        <v>2.247782268</v>
      </c>
      <c r="C66" s="551">
        <v>2.211108911</v>
      </c>
      <c r="D66" s="538">
        <v>2.590714747</v>
      </c>
      <c r="E66" s="538">
        <v>2.676598608</v>
      </c>
      <c r="F66" s="538">
        <v>0.254147656</v>
      </c>
      <c r="G66" s="538">
        <v>0.25423585</v>
      </c>
      <c r="H66" s="538">
        <v>2.105548155</v>
      </c>
      <c r="I66" s="538">
        <v>2.056841265</v>
      </c>
      <c r="J66" s="538">
        <v>1.16228118</v>
      </c>
      <c r="K66" s="548"/>
      <c r="L66" s="308"/>
      <c r="M66" s="308"/>
      <c r="N66" s="308"/>
      <c r="O66" s="308"/>
      <c r="P66" s="308"/>
      <c r="Q66" s="308"/>
      <c r="R66" s="308"/>
      <c r="S66" s="308"/>
      <c r="T66" s="308"/>
      <c r="U66" s="308"/>
      <c r="V66" s="308"/>
      <c r="W66" s="308"/>
      <c r="X66" s="308"/>
      <c r="Y66" s="309"/>
      <c r="Z66" s="1098"/>
    </row>
    <row r="67" spans="1:26" ht="15">
      <c r="A67" s="576" t="s">
        <v>224</v>
      </c>
      <c r="B67" s="570">
        <f>SUM(B65:B66)</f>
        <v>2.247782268</v>
      </c>
      <c r="C67" s="570">
        <f>SUM(C65:C66)</f>
        <v>2.211108911</v>
      </c>
      <c r="D67" s="570">
        <f>17.87+1.335+0.016</f>
        <v>19.221</v>
      </c>
      <c r="E67" s="570">
        <f aca="true" t="shared" si="29" ref="E67:J67">SUM(E65:E66)</f>
        <v>4.173598608</v>
      </c>
      <c r="F67" s="570">
        <f t="shared" si="29"/>
        <v>1.369147656</v>
      </c>
      <c r="G67" s="570">
        <f t="shared" si="29"/>
        <v>0.7642358499999999</v>
      </c>
      <c r="H67" s="570">
        <f t="shared" si="29"/>
        <v>2.961548155</v>
      </c>
      <c r="I67" s="570">
        <f t="shared" si="29"/>
        <v>2.7667179930000003</v>
      </c>
      <c r="J67" s="570">
        <f t="shared" si="29"/>
        <v>5.141158839</v>
      </c>
      <c r="K67" s="571"/>
      <c r="L67" s="308"/>
      <c r="M67" s="308"/>
      <c r="N67" s="308"/>
      <c r="O67" s="308"/>
      <c r="P67" s="308"/>
      <c r="Q67" s="308"/>
      <c r="R67" s="308"/>
      <c r="S67" s="308"/>
      <c r="T67" s="308"/>
      <c r="U67" s="308"/>
      <c r="V67" s="308"/>
      <c r="W67" s="308"/>
      <c r="X67" s="308"/>
      <c r="Y67" s="309"/>
      <c r="Z67" s="1098"/>
    </row>
    <row r="68" spans="1:26" s="140" customFormat="1" ht="15">
      <c r="A68" s="573" t="s">
        <v>183</v>
      </c>
      <c r="B68" s="574">
        <f aca="true" t="shared" si="30" ref="B68:J68">SUM(B58,B61,B64,B67)</f>
        <v>122.49670688099998</v>
      </c>
      <c r="C68" s="574">
        <f t="shared" si="30"/>
        <v>123.6029717471</v>
      </c>
      <c r="D68" s="574">
        <f t="shared" si="30"/>
        <v>174.863875212</v>
      </c>
      <c r="E68" s="574">
        <f t="shared" si="30"/>
        <v>186.504924203</v>
      </c>
      <c r="F68" s="574">
        <f t="shared" si="30"/>
        <v>185.55767743500002</v>
      </c>
      <c r="G68" s="574">
        <f t="shared" si="30"/>
        <v>203.287770943</v>
      </c>
      <c r="H68" s="574">
        <f t="shared" si="30"/>
        <v>239.25895485399997</v>
      </c>
      <c r="I68" s="574">
        <f t="shared" si="30"/>
        <v>265.60128794099995</v>
      </c>
      <c r="J68" s="574">
        <f t="shared" si="30"/>
        <v>276.554082449</v>
      </c>
      <c r="K68" s="575"/>
      <c r="L68" s="304"/>
      <c r="M68" s="304"/>
      <c r="N68" s="304"/>
      <c r="O68" s="304"/>
      <c r="P68" s="304"/>
      <c r="Q68" s="304"/>
      <c r="R68" s="304"/>
      <c r="S68" s="304"/>
      <c r="T68" s="304"/>
      <c r="U68" s="304"/>
      <c r="V68" s="304"/>
      <c r="W68" s="304"/>
      <c r="X68" s="304"/>
      <c r="Y68" s="305"/>
      <c r="Z68" s="1098"/>
    </row>
    <row r="69" spans="1:25" ht="15" hidden="1">
      <c r="A69" s="352" t="s">
        <v>185</v>
      </c>
      <c r="B69" s="288"/>
      <c r="C69" s="287">
        <f>SUM(C56,C59,C67)</f>
        <v>54.755108910999994</v>
      </c>
      <c r="D69" s="287">
        <f>SUM(D56,D59,D67)-1.335</f>
        <v>79.715</v>
      </c>
      <c r="E69" s="287">
        <f>SUM(E56,E59,E62,E65)</f>
        <v>97.968</v>
      </c>
      <c r="F69" s="287">
        <f>SUM(F56,F59,F62,F65)</f>
        <v>95.336</v>
      </c>
      <c r="G69" s="287">
        <f>SUM(G56,G59,G62,G65)</f>
        <v>107.121</v>
      </c>
      <c r="H69" s="287">
        <f>SUM(H56,H59,H62,H65)</f>
        <v>115.838</v>
      </c>
      <c r="I69" s="287">
        <f>SUM(I56,I59,I62,I65)</f>
        <v>128.100876728</v>
      </c>
      <c r="J69" s="353"/>
      <c r="K69" s="308"/>
      <c r="L69" s="308"/>
      <c r="M69" s="308"/>
      <c r="N69" s="308"/>
      <c r="O69" s="308"/>
      <c r="P69" s="308"/>
      <c r="Q69" s="309"/>
      <c r="R69" s="308"/>
      <c r="S69" s="308"/>
      <c r="T69" s="308"/>
      <c r="U69" s="308"/>
      <c r="V69" s="308"/>
      <c r="W69" s="308"/>
      <c r="X69" s="308"/>
      <c r="Y69" s="308"/>
    </row>
    <row r="70" spans="1:25" ht="15" hidden="1">
      <c r="A70" s="313" t="s">
        <v>186</v>
      </c>
      <c r="B70" s="316"/>
      <c r="C70" s="314">
        <f>+SUM(C57,C60)</f>
        <v>39.539715076</v>
      </c>
      <c r="D70" s="314">
        <f>+SUM(D57,D60)+1.335</f>
        <v>42.140051298</v>
      </c>
      <c r="E70" s="314">
        <f>SUM(E57,D62,E63,E66)</f>
        <v>106.40592420300001</v>
      </c>
      <c r="F70" s="314">
        <f>SUM(F57,F60,F63,F66)</f>
        <v>90.221677435</v>
      </c>
      <c r="G70" s="314">
        <v>96.167</v>
      </c>
      <c r="H70" s="314">
        <f>SUM(H57,H60,H63,H66)</f>
        <v>123.42095485399999</v>
      </c>
      <c r="I70" s="314">
        <f>SUM(I57,I60,I63,I66)</f>
        <v>137.500411213</v>
      </c>
      <c r="J70" s="315"/>
      <c r="K70" s="317"/>
      <c r="L70" s="317"/>
      <c r="M70" s="317"/>
      <c r="N70" s="317"/>
      <c r="O70" s="317"/>
      <c r="P70" s="317"/>
      <c r="Q70" s="318"/>
      <c r="R70" s="308"/>
      <c r="S70" s="308"/>
      <c r="T70" s="308"/>
      <c r="U70" s="308"/>
      <c r="V70" s="308"/>
      <c r="W70" s="308"/>
      <c r="X70" s="308"/>
      <c r="Y70" s="308"/>
    </row>
    <row r="71" spans="1:25" ht="15">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sheetData>
  <sheetProtection formatCells="0" formatColumns="0" formatRows="0" insertColumns="0" insertRows="0" insertHyperlinks="0" deleteColumns="0" deleteRows="0" pivotTables="0"/>
  <mergeCells count="8">
    <mergeCell ref="P4:Q4"/>
    <mergeCell ref="P5:Q5"/>
    <mergeCell ref="Z62:Z64"/>
    <mergeCell ref="Z56:Z58"/>
    <mergeCell ref="Z65:Z68"/>
    <mergeCell ref="Z10:Z26"/>
    <mergeCell ref="Z44:Z53"/>
    <mergeCell ref="Z29:Z31"/>
  </mergeCells>
  <printOptions/>
  <pageMargins left="0.7" right="0.7" top="0.75" bottom="0.75" header="0.3" footer="0.3"/>
  <pageSetup horizontalDpi="1200" verticalDpi="1200" orientation="portrait" paperSize="9" r:id="rId1"/>
  <ignoredErrors>
    <ignoredError sqref="M19:N19 J22 L22:P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zoomScale="80" zoomScaleNormal="80" workbookViewId="0" topLeftCell="A1">
      <pane xSplit="2" ySplit="2" topLeftCell="C12" activePane="bottomRight" state="frozen"/>
      <selection pane="topRight" activeCell="C1" sqref="C1"/>
      <selection pane="bottomLeft" activeCell="A3" sqref="A3"/>
      <selection pane="bottomRight" activeCell="E16" sqref="E16"/>
    </sheetView>
  </sheetViews>
  <sheetFormatPr defaultColWidth="9.140625" defaultRowHeight="15"/>
  <cols>
    <col min="1" max="3" width="14.7109375" style="1" customWidth="1"/>
    <col min="4" max="4" width="52.421875" style="1" customWidth="1"/>
    <col min="5" max="5" width="88.00390625" style="1" customWidth="1"/>
    <col min="6" max="6" width="12.8515625" style="1" customWidth="1"/>
    <col min="7" max="16384" width="9.140625" style="1" customWidth="1"/>
  </cols>
  <sheetData>
    <row r="1" spans="1:5" ht="18">
      <c r="A1" s="1101" t="s">
        <v>130</v>
      </c>
      <c r="B1" s="1101"/>
      <c r="C1" s="1101"/>
      <c r="D1" s="1101"/>
      <c r="E1" s="1101"/>
    </row>
    <row r="2" spans="1:5" s="4" customFormat="1" ht="30">
      <c r="A2" s="2" t="s">
        <v>132</v>
      </c>
      <c r="B2" s="2" t="s">
        <v>131</v>
      </c>
      <c r="C2" s="3" t="s">
        <v>133</v>
      </c>
      <c r="D2" s="3" t="s">
        <v>134</v>
      </c>
      <c r="E2" s="3" t="s">
        <v>135</v>
      </c>
    </row>
    <row r="3" spans="1:5" ht="86.25" customHeight="1">
      <c r="A3" s="1102" t="s">
        <v>136</v>
      </c>
      <c r="B3" s="499" t="s">
        <v>121</v>
      </c>
      <c r="C3" s="5" t="s">
        <v>288</v>
      </c>
      <c r="D3" s="16" t="s">
        <v>486</v>
      </c>
      <c r="E3" s="5" t="s">
        <v>485</v>
      </c>
    </row>
    <row r="4" spans="1:5" ht="32.25" customHeight="1" hidden="1">
      <c r="A4" s="1102"/>
      <c r="B4" s="501" t="s">
        <v>122</v>
      </c>
      <c r="C4" s="8" t="s">
        <v>310</v>
      </c>
      <c r="D4" s="629"/>
      <c r="E4" s="627"/>
    </row>
    <row r="5" spans="1:5" ht="31.5" customHeight="1" hidden="1">
      <c r="A5" s="1102"/>
      <c r="B5" s="440" t="s">
        <v>123</v>
      </c>
      <c r="C5" s="8" t="s">
        <v>310</v>
      </c>
      <c r="D5" s="10"/>
      <c r="E5" s="628"/>
    </row>
    <row r="6" spans="1:5" ht="43.5" customHeight="1" hidden="1">
      <c r="A6" s="1103"/>
      <c r="B6" s="13" t="s">
        <v>124</v>
      </c>
      <c r="C6" s="8" t="s">
        <v>310</v>
      </c>
      <c r="D6" s="10"/>
      <c r="E6" s="14"/>
    </row>
    <row r="7" spans="1:5" ht="31.5" customHeight="1" hidden="1">
      <c r="A7" s="1104" t="s">
        <v>137</v>
      </c>
      <c r="B7" s="441" t="s">
        <v>121</v>
      </c>
      <c r="C7" s="8" t="s">
        <v>310</v>
      </c>
      <c r="D7" s="7"/>
      <c r="E7" s="18"/>
    </row>
    <row r="8" spans="1:5" ht="63" customHeight="1">
      <c r="A8" s="1102"/>
      <c r="B8" s="1105" t="s">
        <v>122</v>
      </c>
      <c r="C8" s="15" t="s">
        <v>142</v>
      </c>
      <c r="D8" s="630" t="s">
        <v>487</v>
      </c>
      <c r="E8" s="15" t="s">
        <v>364</v>
      </c>
    </row>
    <row r="9" spans="1:5" ht="74.25" customHeight="1">
      <c r="A9" s="1102"/>
      <c r="B9" s="1106"/>
      <c r="C9" s="5"/>
      <c r="D9" s="7"/>
      <c r="E9" s="15" t="s">
        <v>365</v>
      </c>
    </row>
    <row r="10" spans="1:5" ht="51" customHeight="1">
      <c r="A10" s="1102"/>
      <c r="B10" s="1106"/>
      <c r="C10" s="5"/>
      <c r="D10" s="563" t="s">
        <v>488</v>
      </c>
      <c r="E10" s="640" t="s">
        <v>325</v>
      </c>
    </row>
    <row r="11" spans="1:5" ht="51" customHeight="1">
      <c r="A11" s="1102"/>
      <c r="B11" s="1107"/>
      <c r="C11" s="5"/>
      <c r="D11" s="820"/>
      <c r="E11" s="640"/>
    </row>
    <row r="12" spans="1:7" ht="46.5" customHeight="1">
      <c r="A12" s="1102"/>
      <c r="B12" s="1106"/>
      <c r="C12" s="5"/>
      <c r="D12" s="563" t="s">
        <v>489</v>
      </c>
      <c r="E12" s="640" t="s">
        <v>459</v>
      </c>
      <c r="G12" s="625"/>
    </row>
    <row r="13" spans="1:5" ht="42" customHeight="1">
      <c r="A13" s="1102"/>
      <c r="B13" s="1106"/>
      <c r="C13" s="15" t="s">
        <v>143</v>
      </c>
      <c r="D13" s="16" t="s">
        <v>490</v>
      </c>
      <c r="E13" s="15" t="s">
        <v>491</v>
      </c>
    </row>
    <row r="14" spans="1:5" ht="45" customHeight="1" hidden="1">
      <c r="A14" s="1102"/>
      <c r="B14" s="440" t="s">
        <v>123</v>
      </c>
      <c r="C14" s="8" t="s">
        <v>310</v>
      </c>
      <c r="D14" s="10"/>
      <c r="E14" s="443"/>
    </row>
    <row r="15" spans="1:5" ht="45" customHeight="1" hidden="1">
      <c r="A15" s="1103"/>
      <c r="B15" s="17" t="s">
        <v>124</v>
      </c>
      <c r="C15" s="8" t="s">
        <v>310</v>
      </c>
      <c r="D15" s="459"/>
      <c r="E15" s="9"/>
    </row>
    <row r="16" spans="1:5" ht="86.25" customHeight="1">
      <c r="A16" s="1110" t="s">
        <v>138</v>
      </c>
      <c r="B16" s="1105" t="s">
        <v>121</v>
      </c>
      <c r="C16" s="5" t="s">
        <v>139</v>
      </c>
      <c r="D16" s="7" t="s">
        <v>496</v>
      </c>
      <c r="E16" s="640" t="s">
        <v>497</v>
      </c>
    </row>
    <row r="17" spans="1:5" ht="59.25" customHeight="1">
      <c r="A17" s="1102"/>
      <c r="B17" s="1106"/>
      <c r="C17" s="5"/>
      <c r="D17" s="7" t="s">
        <v>498</v>
      </c>
      <c r="E17" s="6" t="s">
        <v>499</v>
      </c>
    </row>
    <row r="18" spans="1:5" ht="30.75" customHeight="1" hidden="1">
      <c r="A18" s="1102"/>
      <c r="B18" s="564" t="s">
        <v>122</v>
      </c>
      <c r="C18" s="8" t="s">
        <v>310</v>
      </c>
      <c r="D18" s="10"/>
      <c r="E18" s="14"/>
    </row>
    <row r="19" spans="1:5" ht="32.25" customHeight="1" hidden="1">
      <c r="A19" s="1102"/>
      <c r="B19" s="500" t="s">
        <v>123</v>
      </c>
      <c r="C19" s="8" t="s">
        <v>310</v>
      </c>
      <c r="D19" s="7"/>
      <c r="E19" s="11"/>
    </row>
    <row r="20" spans="1:5" ht="54.75" customHeight="1">
      <c r="A20" s="1102"/>
      <c r="B20" s="501" t="s">
        <v>124</v>
      </c>
      <c r="C20" s="15" t="s">
        <v>145</v>
      </c>
      <c r="D20" s="16" t="s">
        <v>500</v>
      </c>
      <c r="E20" s="442" t="s">
        <v>501</v>
      </c>
    </row>
    <row r="21" spans="1:5" ht="86.25" customHeight="1">
      <c r="A21" s="821"/>
      <c r="B21" s="499"/>
      <c r="C21" s="6"/>
      <c r="D21" s="12" t="s">
        <v>503</v>
      </c>
      <c r="E21" s="6" t="s">
        <v>502</v>
      </c>
    </row>
    <row r="22" spans="1:5" ht="33.75" customHeight="1" hidden="1">
      <c r="A22" s="1110" t="s">
        <v>140</v>
      </c>
      <c r="B22" s="452" t="s">
        <v>121</v>
      </c>
      <c r="C22" s="8" t="s">
        <v>310</v>
      </c>
      <c r="D22" s="442"/>
      <c r="E22" s="15"/>
    </row>
    <row r="23" spans="1:5" ht="45" customHeight="1">
      <c r="A23" s="1102"/>
      <c r="B23" s="1099" t="s">
        <v>122</v>
      </c>
      <c r="C23" s="1108" t="s">
        <v>144</v>
      </c>
      <c r="D23" s="1111" t="s">
        <v>504</v>
      </c>
      <c r="E23" s="1108" t="s">
        <v>506</v>
      </c>
    </row>
    <row r="24" spans="1:5" ht="34.5" customHeight="1">
      <c r="A24" s="1102"/>
      <c r="B24" s="1100"/>
      <c r="C24" s="1109"/>
      <c r="D24" s="1112"/>
      <c r="E24" s="1109"/>
    </row>
    <row r="25" spans="1:5" ht="126.75" customHeight="1">
      <c r="A25" s="1102"/>
      <c r="B25" s="499"/>
      <c r="C25" s="5"/>
      <c r="D25" s="7" t="s">
        <v>505</v>
      </c>
      <c r="E25" s="640" t="s">
        <v>507</v>
      </c>
    </row>
    <row r="26" spans="1:5" ht="32.25" customHeight="1" hidden="1">
      <c r="A26" s="1102"/>
      <c r="B26" s="440" t="s">
        <v>123</v>
      </c>
      <c r="C26" s="8" t="s">
        <v>310</v>
      </c>
      <c r="D26" s="10"/>
      <c r="E26" s="14"/>
    </row>
    <row r="27" spans="1:5" ht="41.25" customHeight="1" hidden="1">
      <c r="A27" s="1103"/>
      <c r="B27" s="13" t="s">
        <v>124</v>
      </c>
      <c r="C27" s="8" t="s">
        <v>310</v>
      </c>
      <c r="D27" s="10"/>
      <c r="E27" s="11"/>
    </row>
    <row r="28" spans="1:5" ht="57" customHeight="1">
      <c r="A28" s="806" t="s">
        <v>141</v>
      </c>
      <c r="B28" s="1099" t="s">
        <v>122</v>
      </c>
      <c r="C28" s="15" t="s">
        <v>363</v>
      </c>
      <c r="D28" s="699" t="s">
        <v>494</v>
      </c>
      <c r="E28" s="15" t="s">
        <v>492</v>
      </c>
    </row>
    <row r="29" spans="1:5" ht="61.5" customHeight="1">
      <c r="A29" s="695"/>
      <c r="B29" s="1100"/>
      <c r="C29" s="6"/>
      <c r="D29" s="820" t="s">
        <v>495</v>
      </c>
      <c r="E29" s="5" t="s">
        <v>493</v>
      </c>
    </row>
  </sheetData>
  <mergeCells count="12">
    <mergeCell ref="B28:B29"/>
    <mergeCell ref="A1:E1"/>
    <mergeCell ref="A3:A6"/>
    <mergeCell ref="A7:A15"/>
    <mergeCell ref="B8:B13"/>
    <mergeCell ref="E23:E24"/>
    <mergeCell ref="B23:B24"/>
    <mergeCell ref="A16:A20"/>
    <mergeCell ref="A22:A27"/>
    <mergeCell ref="B16:B17"/>
    <mergeCell ref="D23:D24"/>
    <mergeCell ref="C23: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59"/>
  <sheetViews>
    <sheetView zoomScale="90" zoomScaleNormal="90" zoomScaleSheetLayoutView="92" workbookViewId="0" topLeftCell="A1">
      <pane ySplit="8" topLeftCell="A9" activePane="bottomLeft" state="frozen"/>
      <selection pane="bottomLeft" activeCell="A91" sqref="A91"/>
    </sheetView>
  </sheetViews>
  <sheetFormatPr defaultColWidth="8.8515625" defaultRowHeight="15"/>
  <cols>
    <col min="1" max="1" width="51.7109375" style="21" customWidth="1"/>
    <col min="2" max="2" width="10.7109375" style="20" customWidth="1"/>
    <col min="3" max="15" width="10.7109375" style="21" customWidth="1"/>
    <col min="16" max="16" width="36.7109375" style="21" customWidth="1"/>
    <col min="17" max="16384" width="8.8515625" style="21" customWidth="1"/>
  </cols>
  <sheetData>
    <row r="1" ht="18">
      <c r="A1" s="19" t="s">
        <v>279</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6" ht="15">
      <c r="A9" s="603"/>
      <c r="B9" s="604"/>
      <c r="C9" s="605"/>
      <c r="D9" s="605"/>
      <c r="E9" s="605"/>
      <c r="F9" s="605"/>
      <c r="G9" s="605"/>
      <c r="H9" s="605"/>
      <c r="I9" s="605"/>
      <c r="J9" s="605"/>
      <c r="K9" s="605"/>
      <c r="L9" s="605"/>
      <c r="M9" s="605"/>
      <c r="N9" s="605"/>
      <c r="O9" s="605"/>
      <c r="P9" s="605"/>
    </row>
    <row r="10" spans="1:16" ht="15">
      <c r="A10" s="1120" t="s">
        <v>167</v>
      </c>
      <c r="B10" s="1121"/>
      <c r="C10" s="1121"/>
      <c r="D10" s="1121"/>
      <c r="E10" s="1121"/>
      <c r="F10" s="1121"/>
      <c r="G10" s="1121"/>
      <c r="H10" s="1121"/>
      <c r="I10" s="1121"/>
      <c r="J10" s="1121"/>
      <c r="K10" s="1121"/>
      <c r="L10" s="1121"/>
      <c r="M10" s="1121"/>
      <c r="N10" s="1121"/>
      <c r="O10" s="1122"/>
      <c r="P10" s="1115" t="s">
        <v>428</v>
      </c>
    </row>
    <row r="11" spans="1:16" ht="15">
      <c r="A11" s="32" t="s">
        <v>409</v>
      </c>
      <c r="B11" s="33">
        <f>ECO!L49*(1-ECO!L61)</f>
        <v>4290.325665352465</v>
      </c>
      <c r="C11" s="34">
        <f>ECO!M49*(1-ECO!M61)</f>
        <v>4114.8419450134215</v>
      </c>
      <c r="D11" s="34">
        <f>ECO!N49*(1-ECO!N61)</f>
        <v>3928.016778061644</v>
      </c>
      <c r="E11" s="34">
        <f>ECO!O49*(1-ECO!O61)</f>
        <v>3736.4788984564716</v>
      </c>
      <c r="F11" s="31">
        <f>ECO!P49*(1-ECO!P61)</f>
        <v>3541.9709445198446</v>
      </c>
      <c r="G11" s="31">
        <f>ECO!Q49*(1-ECO!Q61)</f>
        <v>3345.0657548809927</v>
      </c>
      <c r="H11" s="31">
        <f>ECO!R49*(1-ECO!R61)</f>
        <v>3145.771143396765</v>
      </c>
      <c r="I11" s="31">
        <f>ECO!S49*(1-ECO!S61)</f>
        <v>2944.531046812396</v>
      </c>
      <c r="J11" s="31">
        <f>ECO!T49*(1-ECO!T61)</f>
        <v>2741.4126168852013</v>
      </c>
      <c r="K11" s="31">
        <f>ECO!U49*(1-ECO!U61)</f>
        <v>2536.180912889361</v>
      </c>
      <c r="L11" s="31">
        <f>ECO!V49*(1-ECO!V61)</f>
        <v>2329.042220819843</v>
      </c>
      <c r="M11" s="31">
        <f>ECO!W49*(1-ECO!W61)</f>
        <v>2120.873011800682</v>
      </c>
      <c r="N11" s="31">
        <f>ECO!X49*(1-ECO!X61)</f>
        <v>1912.1125453543993</v>
      </c>
      <c r="O11" s="31">
        <f>ECO!Y49*(1-ECO!Y61)</f>
        <v>1703.5017442837743</v>
      </c>
      <c r="P11" s="1115"/>
    </row>
    <row r="12" spans="1:16" ht="15">
      <c r="A12" s="32" t="s">
        <v>74</v>
      </c>
      <c r="B12" s="266">
        <v>0</v>
      </c>
      <c r="C12" s="267">
        <v>0</v>
      </c>
      <c r="D12" s="267">
        <v>0.25</v>
      </c>
      <c r="E12" s="267">
        <v>0.5</v>
      </c>
      <c r="F12" s="267">
        <v>0.75</v>
      </c>
      <c r="G12" s="267">
        <v>1</v>
      </c>
      <c r="H12" s="267">
        <v>1</v>
      </c>
      <c r="I12" s="267">
        <v>1</v>
      </c>
      <c r="J12" s="267">
        <v>1</v>
      </c>
      <c r="K12" s="267">
        <v>1</v>
      </c>
      <c r="L12" s="267">
        <v>1</v>
      </c>
      <c r="M12" s="267">
        <v>1</v>
      </c>
      <c r="N12" s="267">
        <v>1</v>
      </c>
      <c r="O12" s="267">
        <v>1</v>
      </c>
      <c r="P12" s="1115"/>
    </row>
    <row r="13" spans="1:16" s="35" customFormat="1" ht="15">
      <c r="A13" s="32" t="s">
        <v>70</v>
      </c>
      <c r="B13" s="33">
        <f>B11*B12</f>
        <v>0</v>
      </c>
      <c r="C13" s="34">
        <f aca="true" t="shared" si="0" ref="C13:O13">C11*C12</f>
        <v>0</v>
      </c>
      <c r="D13" s="34">
        <f t="shared" si="0"/>
        <v>982.004194515411</v>
      </c>
      <c r="E13" s="34">
        <f t="shared" si="0"/>
        <v>1868.2394492282358</v>
      </c>
      <c r="F13" s="31">
        <f t="shared" si="0"/>
        <v>2656.4782083898835</v>
      </c>
      <c r="G13" s="31">
        <f t="shared" si="0"/>
        <v>3345.0657548809927</v>
      </c>
      <c r="H13" s="31">
        <f t="shared" si="0"/>
        <v>3145.771143396765</v>
      </c>
      <c r="I13" s="31">
        <f t="shared" si="0"/>
        <v>2944.531046812396</v>
      </c>
      <c r="J13" s="31">
        <f t="shared" si="0"/>
        <v>2741.4126168852013</v>
      </c>
      <c r="K13" s="31">
        <f t="shared" si="0"/>
        <v>2536.180912889361</v>
      </c>
      <c r="L13" s="31">
        <f t="shared" si="0"/>
        <v>2329.042220819843</v>
      </c>
      <c r="M13" s="31">
        <f t="shared" si="0"/>
        <v>2120.873011800682</v>
      </c>
      <c r="N13" s="31">
        <f t="shared" si="0"/>
        <v>1912.1125453543993</v>
      </c>
      <c r="O13" s="31">
        <f t="shared" si="0"/>
        <v>1703.5017442837743</v>
      </c>
      <c r="P13" s="1115"/>
    </row>
    <row r="14" spans="1:16" s="35" customFormat="1" ht="15">
      <c r="A14" s="32"/>
      <c r="B14" s="33"/>
      <c r="C14" s="34"/>
      <c r="D14" s="34"/>
      <c r="E14" s="34"/>
      <c r="F14" s="31"/>
      <c r="G14" s="31"/>
      <c r="H14" s="31"/>
      <c r="I14" s="31"/>
      <c r="J14" s="31"/>
      <c r="K14" s="31"/>
      <c r="L14" s="31"/>
      <c r="M14" s="31"/>
      <c r="N14" s="31"/>
      <c r="O14" s="900"/>
      <c r="P14" s="1116"/>
    </row>
    <row r="15" spans="1:16" s="35" customFormat="1" ht="15">
      <c r="A15" s="32" t="s">
        <v>171</v>
      </c>
      <c r="B15" s="33">
        <f>((B13*50%*2400)+(B13*50%*3600))/1000</f>
        <v>0</v>
      </c>
      <c r="C15" s="34">
        <f aca="true" t="shared" si="1" ref="C15:N15">((C13*50%*2400)+(C13*50%*3600))/1000</f>
        <v>0</v>
      </c>
      <c r="D15" s="34">
        <f t="shared" si="1"/>
        <v>2946.0125835462327</v>
      </c>
      <c r="E15" s="34">
        <f t="shared" si="1"/>
        <v>5604.718347684708</v>
      </c>
      <c r="F15" s="31">
        <f t="shared" si="1"/>
        <v>7969.434625169651</v>
      </c>
      <c r="G15" s="31">
        <f t="shared" si="1"/>
        <v>10035.197264642979</v>
      </c>
      <c r="H15" s="31">
        <f t="shared" si="1"/>
        <v>9437.313430190296</v>
      </c>
      <c r="I15" s="31">
        <f t="shared" si="1"/>
        <v>8833.59314043719</v>
      </c>
      <c r="J15" s="31">
        <f t="shared" si="1"/>
        <v>8224.237850655603</v>
      </c>
      <c r="K15" s="31">
        <f t="shared" si="1"/>
        <v>7608.542738668083</v>
      </c>
      <c r="L15" s="31">
        <f t="shared" si="1"/>
        <v>6987.126662459528</v>
      </c>
      <c r="M15" s="31">
        <f t="shared" si="1"/>
        <v>6362.619035402046</v>
      </c>
      <c r="N15" s="31">
        <f t="shared" si="1"/>
        <v>5736.337636063197</v>
      </c>
      <c r="O15" s="31">
        <f>((O13*50%*2400)+(O13*50%*3600))/1000</f>
        <v>5110.505232851323</v>
      </c>
      <c r="P15" s="1116"/>
    </row>
    <row r="16" spans="1:16" s="35" customFormat="1" ht="15">
      <c r="A16" s="32" t="s">
        <v>174</v>
      </c>
      <c r="B16" s="33">
        <f>30%*B15</f>
        <v>0</v>
      </c>
      <c r="C16" s="34">
        <f aca="true" t="shared" si="2" ref="C16:H16">30%*C15</f>
        <v>0</v>
      </c>
      <c r="D16" s="34">
        <f t="shared" si="2"/>
        <v>883.8037750638698</v>
      </c>
      <c r="E16" s="34">
        <f t="shared" si="2"/>
        <v>1681.4155043054122</v>
      </c>
      <c r="F16" s="31">
        <f t="shared" si="2"/>
        <v>2390.830387550895</v>
      </c>
      <c r="G16" s="31">
        <f t="shared" si="2"/>
        <v>3010.5591793928934</v>
      </c>
      <c r="H16" s="31">
        <f t="shared" si="2"/>
        <v>2831.1940290570888</v>
      </c>
      <c r="I16" s="31">
        <f>30%*I15</f>
        <v>2650.0779421311568</v>
      </c>
      <c r="J16" s="31">
        <f aca="true" t="shared" si="3" ref="J16:O16">30%*J15</f>
        <v>2467.271355196681</v>
      </c>
      <c r="K16" s="31">
        <f t="shared" si="3"/>
        <v>2282.5628216004247</v>
      </c>
      <c r="L16" s="31">
        <f t="shared" si="3"/>
        <v>2096.137998737858</v>
      </c>
      <c r="M16" s="31">
        <f t="shared" si="3"/>
        <v>1908.7857106206138</v>
      </c>
      <c r="N16" s="31">
        <f t="shared" si="3"/>
        <v>1720.901290818959</v>
      </c>
      <c r="O16" s="31">
        <f t="shared" si="3"/>
        <v>1533.151569855397</v>
      </c>
      <c r="P16" s="1116"/>
    </row>
    <row r="17" spans="1:16" s="35" customFormat="1" ht="15">
      <c r="A17" s="32" t="s">
        <v>86</v>
      </c>
      <c r="B17" s="33">
        <f>3%*B15</f>
        <v>0</v>
      </c>
      <c r="C17" s="34">
        <f>3%*C15</f>
        <v>0</v>
      </c>
      <c r="D17" s="34">
        <f>10%*D15</f>
        <v>294.60125835462327</v>
      </c>
      <c r="E17" s="34">
        <f aca="true" t="shared" si="4" ref="E17:O17">10%*E15</f>
        <v>560.4718347684708</v>
      </c>
      <c r="F17" s="34">
        <f t="shared" si="4"/>
        <v>796.9434625169652</v>
      </c>
      <c r="G17" s="34">
        <f t="shared" si="4"/>
        <v>1003.519726464298</v>
      </c>
      <c r="H17" s="34">
        <f t="shared" si="4"/>
        <v>943.7313430190296</v>
      </c>
      <c r="I17" s="34">
        <f t="shared" si="4"/>
        <v>883.359314043719</v>
      </c>
      <c r="J17" s="34">
        <f t="shared" si="4"/>
        <v>822.4237850655604</v>
      </c>
      <c r="K17" s="34">
        <f t="shared" si="4"/>
        <v>760.8542738668084</v>
      </c>
      <c r="L17" s="34">
        <f t="shared" si="4"/>
        <v>698.7126662459528</v>
      </c>
      <c r="M17" s="34">
        <f t="shared" si="4"/>
        <v>636.2619035402047</v>
      </c>
      <c r="N17" s="34">
        <f t="shared" si="4"/>
        <v>573.6337636063198</v>
      </c>
      <c r="O17" s="34">
        <f t="shared" si="4"/>
        <v>511.05052328513233</v>
      </c>
      <c r="P17" s="1116"/>
    </row>
    <row r="18" spans="1:16" s="35" customFormat="1" ht="15">
      <c r="A18" s="32"/>
      <c r="B18" s="898"/>
      <c r="C18" s="34"/>
      <c r="D18" s="34"/>
      <c r="E18" s="34"/>
      <c r="F18" s="31"/>
      <c r="G18" s="31"/>
      <c r="H18" s="31"/>
      <c r="I18" s="31"/>
      <c r="J18" s="31"/>
      <c r="K18" s="31"/>
      <c r="L18" s="31"/>
      <c r="M18" s="31"/>
      <c r="N18" s="31"/>
      <c r="O18" s="900"/>
      <c r="P18" s="1116"/>
    </row>
    <row r="19" spans="1:16" ht="15">
      <c r="A19" s="43" t="s">
        <v>84</v>
      </c>
      <c r="B19" s="44">
        <f>B16+B17</f>
        <v>0</v>
      </c>
      <c r="C19" s="45">
        <f aca="true" t="shared" si="5" ref="C19:O19">C16+C17</f>
        <v>0</v>
      </c>
      <c r="D19" s="45">
        <f t="shared" si="5"/>
        <v>1178.405033418493</v>
      </c>
      <c r="E19" s="45">
        <f t="shared" si="5"/>
        <v>2241.887339073883</v>
      </c>
      <c r="F19" s="45">
        <f t="shared" si="5"/>
        <v>3187.77385006786</v>
      </c>
      <c r="G19" s="45">
        <f t="shared" si="5"/>
        <v>4014.0789058571913</v>
      </c>
      <c r="H19" s="45">
        <f t="shared" si="5"/>
        <v>3774.9253720761185</v>
      </c>
      <c r="I19" s="45">
        <f t="shared" si="5"/>
        <v>3533.437256174876</v>
      </c>
      <c r="J19" s="45">
        <f t="shared" si="5"/>
        <v>3289.6951402622412</v>
      </c>
      <c r="K19" s="45">
        <f t="shared" si="5"/>
        <v>3043.417095467233</v>
      </c>
      <c r="L19" s="45">
        <f t="shared" si="5"/>
        <v>2794.850664983811</v>
      </c>
      <c r="M19" s="45">
        <f t="shared" si="5"/>
        <v>2545.0476141608187</v>
      </c>
      <c r="N19" s="45">
        <f t="shared" si="5"/>
        <v>2294.5350544252788</v>
      </c>
      <c r="O19" s="45">
        <f t="shared" si="5"/>
        <v>2044.2020931405293</v>
      </c>
      <c r="P19" s="1116"/>
    </row>
    <row r="20" spans="1:16" ht="15">
      <c r="A20" s="43" t="s">
        <v>567</v>
      </c>
      <c r="B20" s="270">
        <f>B19/(ECO!L$66*1000)</f>
        <v>0</v>
      </c>
      <c r="C20" s="271">
        <f>C19/(ECO!M$66*1000)</f>
        <v>0</v>
      </c>
      <c r="D20" s="271">
        <f>D19/(ECO!N$66*1000)</f>
        <v>7.110428350904736E-05</v>
      </c>
      <c r="E20" s="271">
        <f>E19/(ECO!O$66*1000)</f>
        <v>0.00012295061080643658</v>
      </c>
      <c r="F20" s="271">
        <f>F19/(ECO!P$66*1000)</f>
        <v>0.0001590473927033908</v>
      </c>
      <c r="G20" s="271">
        <f>G19/(ECO!Q$66*1000)</f>
        <v>0.0001824094702125688</v>
      </c>
      <c r="H20" s="271">
        <f>H19/(ECO!R$66*1000)</f>
        <v>0.0001618318436329511</v>
      </c>
      <c r="I20" s="271">
        <f>I19/(ECO!S$66*1000)</f>
        <v>0.00014290490318784153</v>
      </c>
      <c r="J20" s="271">
        <f>J19/(ECO!T$66*1000)</f>
        <v>0.0001255161282229677</v>
      </c>
      <c r="K20" s="271">
        <f>K19/(ECO!U$66*1000)</f>
        <v>0.00010954674845650752</v>
      </c>
      <c r="L20" s="271">
        <f>L19/(ECO!V$66*1000)</f>
        <v>9.490536371680148E-05</v>
      </c>
      <c r="M20" s="271">
        <f>M19/(ECO!W$66*1000)</f>
        <v>8.153089257795362E-05</v>
      </c>
      <c r="N20" s="271">
        <f>N19/(ECO!X$66*1000)</f>
        <v>6.934499430135415E-05</v>
      </c>
      <c r="O20" s="271">
        <f>O19/(ECO!Y$66*1000)</f>
        <v>5.828252830002873E-05</v>
      </c>
      <c r="P20" s="1116"/>
    </row>
    <row r="21" spans="1:16" ht="15">
      <c r="A21" s="969" t="s">
        <v>71</v>
      </c>
      <c r="B21" s="970">
        <f>B19/('GGO (SQ)'!L$24*1000)</f>
        <v>0</v>
      </c>
      <c r="C21" s="964">
        <f>C19/('GGO (SQ)'!M$24*1000)</f>
        <v>0</v>
      </c>
      <c r="D21" s="964">
        <f>D19/('GGO (SQ)'!N$24*1000)</f>
        <v>0.00045333210766212095</v>
      </c>
      <c r="E21" s="964">
        <f>E19/('GGO (SQ)'!O$24*1000)</f>
        <v>0.0007838832878209784</v>
      </c>
      <c r="F21" s="964">
        <f>F19/('GGO (SQ)'!P$24*1000)</f>
        <v>0.0010140217465691634</v>
      </c>
      <c r="G21" s="964">
        <f>G19/('GGO (SQ)'!Q$24*1000)</f>
        <v>0.0011629688889062903</v>
      </c>
      <c r="H21" s="964">
        <f>H19/('GGO (SQ)'!R$24*1000)</f>
        <v>0.0010317742777288185</v>
      </c>
      <c r="I21" s="964">
        <f>I19/('GGO (SQ)'!S$24*1000)</f>
        <v>0.0009111037726602287</v>
      </c>
      <c r="J21" s="964">
        <f>J19/('GGO (SQ)'!T$24*1000)</f>
        <v>0.0008002399875904367</v>
      </c>
      <c r="K21" s="964">
        <f>K19/('GGO (SQ)'!U$24*1000)</f>
        <v>0.0006984256913157959</v>
      </c>
      <c r="L21" s="964">
        <f>L19/('GGO (SQ)'!V$24*1000)</f>
        <v>0.0006050781533675595</v>
      </c>
      <c r="M21" s="964">
        <f>M19/('GGO (SQ)'!W$24*1000)</f>
        <v>0.0005198079433179969</v>
      </c>
      <c r="N21" s="964">
        <f>N19/('GGO (SQ)'!X$24*1000)</f>
        <v>0.0004421155923531759</v>
      </c>
      <c r="O21" s="964">
        <f>O19/('GGO (SQ)'!Y$24*1000)</f>
        <v>0.00037158579047867575</v>
      </c>
      <c r="P21" s="1116"/>
    </row>
    <row r="22" spans="1:15" ht="15">
      <c r="A22" s="46"/>
      <c r="B22" s="47"/>
      <c r="C22" s="47"/>
      <c r="D22" s="47"/>
      <c r="E22" s="47"/>
      <c r="F22" s="47"/>
      <c r="G22" s="47"/>
      <c r="H22" s="47"/>
      <c r="I22" s="47"/>
      <c r="J22" s="47"/>
      <c r="K22" s="47"/>
      <c r="L22" s="47"/>
      <c r="M22" s="47"/>
      <c r="N22" s="47"/>
      <c r="O22" s="47"/>
    </row>
    <row r="23" spans="1:16" ht="14.25" customHeight="1">
      <c r="A23" s="1117" t="s">
        <v>168</v>
      </c>
      <c r="B23" s="1118"/>
      <c r="C23" s="1118"/>
      <c r="D23" s="1118"/>
      <c r="E23" s="1118"/>
      <c r="F23" s="1118"/>
      <c r="G23" s="1118"/>
      <c r="H23" s="1118"/>
      <c r="I23" s="1118"/>
      <c r="J23" s="1118"/>
      <c r="K23" s="1118"/>
      <c r="L23" s="1118"/>
      <c r="M23" s="1118"/>
      <c r="N23" s="1118"/>
      <c r="O23" s="1119"/>
      <c r="P23" s="1113"/>
    </row>
    <row r="24" spans="1:16" ht="15">
      <c r="A24" s="32" t="s">
        <v>409</v>
      </c>
      <c r="B24" s="33">
        <f>B11</f>
        <v>4290.325665352465</v>
      </c>
      <c r="C24" s="34">
        <f aca="true" t="shared" si="6" ref="C24:O24">C11</f>
        <v>4114.8419450134215</v>
      </c>
      <c r="D24" s="34">
        <f t="shared" si="6"/>
        <v>3928.016778061644</v>
      </c>
      <c r="E24" s="34">
        <f t="shared" si="6"/>
        <v>3736.4788984564716</v>
      </c>
      <c r="F24" s="31">
        <f t="shared" si="6"/>
        <v>3541.9709445198446</v>
      </c>
      <c r="G24" s="31">
        <f t="shared" si="6"/>
        <v>3345.0657548809927</v>
      </c>
      <c r="H24" s="31">
        <f t="shared" si="6"/>
        <v>3145.771143396765</v>
      </c>
      <c r="I24" s="31">
        <f t="shared" si="6"/>
        <v>2944.531046812396</v>
      </c>
      <c r="J24" s="31">
        <f t="shared" si="6"/>
        <v>2741.4126168852013</v>
      </c>
      <c r="K24" s="31">
        <f t="shared" si="6"/>
        <v>2536.180912889361</v>
      </c>
      <c r="L24" s="31">
        <f t="shared" si="6"/>
        <v>2329.042220819843</v>
      </c>
      <c r="M24" s="31">
        <f t="shared" si="6"/>
        <v>2120.873011800682</v>
      </c>
      <c r="N24" s="31">
        <f t="shared" si="6"/>
        <v>1912.1125453543993</v>
      </c>
      <c r="O24" s="29">
        <f t="shared" si="6"/>
        <v>1703.5017442837743</v>
      </c>
      <c r="P24" s="1113"/>
    </row>
    <row r="25" spans="1:16" s="35" customFormat="1" ht="15">
      <c r="A25" s="32" t="s">
        <v>74</v>
      </c>
      <c r="B25" s="266">
        <v>0</v>
      </c>
      <c r="C25" s="267">
        <v>0</v>
      </c>
      <c r="D25" s="267">
        <v>0.25</v>
      </c>
      <c r="E25" s="267">
        <v>0.5</v>
      </c>
      <c r="F25" s="267">
        <v>0.75</v>
      </c>
      <c r="G25" s="267">
        <v>1</v>
      </c>
      <c r="H25" s="267">
        <v>1</v>
      </c>
      <c r="I25" s="267">
        <v>1</v>
      </c>
      <c r="J25" s="267">
        <v>1</v>
      </c>
      <c r="K25" s="267">
        <v>1</v>
      </c>
      <c r="L25" s="267">
        <v>1</v>
      </c>
      <c r="M25" s="267">
        <v>1</v>
      </c>
      <c r="N25" s="267">
        <v>1</v>
      </c>
      <c r="O25" s="967">
        <v>1</v>
      </c>
      <c r="P25" s="1113"/>
    </row>
    <row r="26" spans="1:16" s="35" customFormat="1" ht="15">
      <c r="A26" s="32" t="s">
        <v>70</v>
      </c>
      <c r="B26" s="33">
        <f>B24*B25</f>
        <v>0</v>
      </c>
      <c r="C26" s="34">
        <f aca="true" t="shared" si="7" ref="C26:O26">C24*C25</f>
        <v>0</v>
      </c>
      <c r="D26" s="34">
        <f t="shared" si="7"/>
        <v>982.004194515411</v>
      </c>
      <c r="E26" s="34">
        <f t="shared" si="7"/>
        <v>1868.2394492282358</v>
      </c>
      <c r="F26" s="31">
        <f t="shared" si="7"/>
        <v>2656.4782083898835</v>
      </c>
      <c r="G26" s="31">
        <f t="shared" si="7"/>
        <v>3345.0657548809927</v>
      </c>
      <c r="H26" s="31">
        <f t="shared" si="7"/>
        <v>3145.771143396765</v>
      </c>
      <c r="I26" s="31">
        <f t="shared" si="7"/>
        <v>2944.531046812396</v>
      </c>
      <c r="J26" s="31">
        <f t="shared" si="7"/>
        <v>2741.4126168852013</v>
      </c>
      <c r="K26" s="31">
        <f t="shared" si="7"/>
        <v>2536.180912889361</v>
      </c>
      <c r="L26" s="31">
        <f t="shared" si="7"/>
        <v>2329.042220819843</v>
      </c>
      <c r="M26" s="31">
        <f t="shared" si="7"/>
        <v>2120.873011800682</v>
      </c>
      <c r="N26" s="31">
        <f t="shared" si="7"/>
        <v>1912.1125453543993</v>
      </c>
      <c r="O26" s="900">
        <f t="shared" si="7"/>
        <v>1703.5017442837743</v>
      </c>
      <c r="P26" s="1113"/>
    </row>
    <row r="27" spans="1:16" s="35" customFormat="1" ht="15">
      <c r="A27" s="32"/>
      <c r="B27" s="33"/>
      <c r="C27" s="34"/>
      <c r="D27" s="34"/>
      <c r="E27" s="34"/>
      <c r="F27" s="34"/>
      <c r="G27" s="31"/>
      <c r="H27" s="31"/>
      <c r="I27" s="31"/>
      <c r="J27" s="31"/>
      <c r="K27" s="31"/>
      <c r="L27" s="31"/>
      <c r="M27" s="31"/>
      <c r="N27" s="31"/>
      <c r="O27" s="900"/>
      <c r="P27" s="1113"/>
    </row>
    <row r="28" spans="1:15" s="35" customFormat="1" ht="15">
      <c r="A28" s="32" t="s">
        <v>171</v>
      </c>
      <c r="B28" s="33">
        <f>((B26*50%*2400)+(B26*50%*3600))/1000</f>
        <v>0</v>
      </c>
      <c r="C28" s="34">
        <f aca="true" t="shared" si="8" ref="C28:O28">((C26*50%*2400)+(C26*50%*3600))/1000</f>
        <v>0</v>
      </c>
      <c r="D28" s="34">
        <f t="shared" si="8"/>
        <v>2946.0125835462327</v>
      </c>
      <c r="E28" s="34">
        <f t="shared" si="8"/>
        <v>5604.718347684708</v>
      </c>
      <c r="F28" s="31">
        <f t="shared" si="8"/>
        <v>7969.434625169651</v>
      </c>
      <c r="G28" s="31">
        <f t="shared" si="8"/>
        <v>10035.197264642979</v>
      </c>
      <c r="H28" s="31">
        <f t="shared" si="8"/>
        <v>9437.313430190296</v>
      </c>
      <c r="I28" s="31">
        <f t="shared" si="8"/>
        <v>8833.59314043719</v>
      </c>
      <c r="J28" s="31">
        <f t="shared" si="8"/>
        <v>8224.237850655603</v>
      </c>
      <c r="K28" s="31">
        <f t="shared" si="8"/>
        <v>7608.542738668083</v>
      </c>
      <c r="L28" s="31">
        <f t="shared" si="8"/>
        <v>6987.126662459528</v>
      </c>
      <c r="M28" s="31">
        <f t="shared" si="8"/>
        <v>6362.619035402046</v>
      </c>
      <c r="N28" s="31">
        <f t="shared" si="8"/>
        <v>5736.337636063197</v>
      </c>
      <c r="O28" s="900">
        <f t="shared" si="8"/>
        <v>5110.505232851323</v>
      </c>
    </row>
    <row r="29" spans="1:15" s="35" customFormat="1" ht="15">
      <c r="A29" s="32" t="s">
        <v>174</v>
      </c>
      <c r="B29" s="33">
        <f aca="true" t="shared" si="9" ref="B29:O29">50%*B28</f>
        <v>0</v>
      </c>
      <c r="C29" s="34">
        <f t="shared" si="9"/>
        <v>0</v>
      </c>
      <c r="D29" s="34">
        <f t="shared" si="9"/>
        <v>1473.0062917731163</v>
      </c>
      <c r="E29" s="34">
        <f t="shared" si="9"/>
        <v>2802.359173842354</v>
      </c>
      <c r="F29" s="34">
        <f t="shared" si="9"/>
        <v>3984.7173125848253</v>
      </c>
      <c r="G29" s="31">
        <f t="shared" si="9"/>
        <v>5017.598632321489</v>
      </c>
      <c r="H29" s="31">
        <f t="shared" si="9"/>
        <v>4718.656715095148</v>
      </c>
      <c r="I29" s="31">
        <f t="shared" si="9"/>
        <v>4416.796570218595</v>
      </c>
      <c r="J29" s="31">
        <f t="shared" si="9"/>
        <v>4112.118925327802</v>
      </c>
      <c r="K29" s="31">
        <f t="shared" si="9"/>
        <v>3804.2713693340415</v>
      </c>
      <c r="L29" s="31">
        <f t="shared" si="9"/>
        <v>3493.563331229764</v>
      </c>
      <c r="M29" s="31">
        <f t="shared" si="9"/>
        <v>3181.309517701023</v>
      </c>
      <c r="N29" s="31">
        <f t="shared" si="9"/>
        <v>2868.1688180315987</v>
      </c>
      <c r="O29" s="900">
        <f t="shared" si="9"/>
        <v>2555.2526164256615</v>
      </c>
    </row>
    <row r="30" spans="1:16" s="35" customFormat="1" ht="15">
      <c r="A30" s="32" t="s">
        <v>86</v>
      </c>
      <c r="B30" s="33">
        <f>3%*B28</f>
        <v>0</v>
      </c>
      <c r="C30" s="34">
        <f>3%*C28</f>
        <v>0</v>
      </c>
      <c r="D30" s="34">
        <f>10%*D28</f>
        <v>294.60125835462327</v>
      </c>
      <c r="E30" s="34">
        <f aca="true" t="shared" si="10" ref="E30:O30">10%*E28</f>
        <v>560.4718347684708</v>
      </c>
      <c r="F30" s="34">
        <f t="shared" si="10"/>
        <v>796.9434625169652</v>
      </c>
      <c r="G30" s="34">
        <f t="shared" si="10"/>
        <v>1003.519726464298</v>
      </c>
      <c r="H30" s="34">
        <f t="shared" si="10"/>
        <v>943.7313430190296</v>
      </c>
      <c r="I30" s="34">
        <f t="shared" si="10"/>
        <v>883.359314043719</v>
      </c>
      <c r="J30" s="34">
        <f t="shared" si="10"/>
        <v>822.4237850655604</v>
      </c>
      <c r="K30" s="34">
        <f t="shared" si="10"/>
        <v>760.8542738668084</v>
      </c>
      <c r="L30" s="34">
        <f t="shared" si="10"/>
        <v>698.7126662459528</v>
      </c>
      <c r="M30" s="34">
        <f t="shared" si="10"/>
        <v>636.2619035402047</v>
      </c>
      <c r="N30" s="34">
        <f t="shared" si="10"/>
        <v>573.6337636063198</v>
      </c>
      <c r="O30" s="819">
        <f t="shared" si="10"/>
        <v>511.05052328513233</v>
      </c>
      <c r="P30" s="31"/>
    </row>
    <row r="31" spans="1:16" ht="15">
      <c r="A31" s="32"/>
      <c r="B31" s="263"/>
      <c r="C31" s="31"/>
      <c r="D31" s="31"/>
      <c r="E31" s="31"/>
      <c r="F31" s="31"/>
      <c r="G31" s="31"/>
      <c r="H31" s="31"/>
      <c r="I31" s="31"/>
      <c r="J31" s="31"/>
      <c r="K31" s="31"/>
      <c r="L31" s="31"/>
      <c r="M31" s="31"/>
      <c r="N31" s="31"/>
      <c r="O31" s="900"/>
      <c r="P31" s="31"/>
    </row>
    <row r="32" spans="1:15" ht="15">
      <c r="A32" s="43" t="s">
        <v>87</v>
      </c>
      <c r="B32" s="44">
        <f>B29+B30</f>
        <v>0</v>
      </c>
      <c r="C32" s="45">
        <f aca="true" t="shared" si="11" ref="C32:O32">C29+C30</f>
        <v>0</v>
      </c>
      <c r="D32" s="45">
        <f t="shared" si="11"/>
        <v>1767.6075501277396</v>
      </c>
      <c r="E32" s="45">
        <f t="shared" si="11"/>
        <v>3362.8310086108245</v>
      </c>
      <c r="F32" s="45">
        <f t="shared" si="11"/>
        <v>4781.660775101791</v>
      </c>
      <c r="G32" s="45">
        <f t="shared" si="11"/>
        <v>6021.118358785787</v>
      </c>
      <c r="H32" s="45">
        <f t="shared" si="11"/>
        <v>5662.3880581141775</v>
      </c>
      <c r="I32" s="45">
        <f t="shared" si="11"/>
        <v>5300.1558842623135</v>
      </c>
      <c r="J32" s="45">
        <f t="shared" si="11"/>
        <v>4934.542710393362</v>
      </c>
      <c r="K32" s="45">
        <f t="shared" si="11"/>
        <v>4565.12564320085</v>
      </c>
      <c r="L32" s="45">
        <f t="shared" si="11"/>
        <v>4192.275997475717</v>
      </c>
      <c r="M32" s="45">
        <f t="shared" si="11"/>
        <v>3817.5714212412277</v>
      </c>
      <c r="N32" s="45">
        <f t="shared" si="11"/>
        <v>3441.8025816379186</v>
      </c>
      <c r="O32" s="874">
        <f t="shared" si="11"/>
        <v>3066.303139710794</v>
      </c>
    </row>
    <row r="33" spans="1:15" ht="15">
      <c r="A33" s="43" t="s">
        <v>568</v>
      </c>
      <c r="B33" s="270">
        <f>B32/(ECO!L$66*1000)</f>
        <v>0</v>
      </c>
      <c r="C33" s="271">
        <f>C32/(ECO!M$66*1000)</f>
        <v>0</v>
      </c>
      <c r="D33" s="271">
        <f>D32/(ECO!N$66*1000)</f>
        <v>0.00010665642526357104</v>
      </c>
      <c r="E33" s="271">
        <f>E32/(ECO!O$66*1000)</f>
        <v>0.00018442591620965485</v>
      </c>
      <c r="F33" s="271">
        <f>F32/(ECO!P$66*1000)</f>
        <v>0.00023857108905508623</v>
      </c>
      <c r="G33" s="271">
        <f>G32/(ECO!Q$66*1000)</f>
        <v>0.0002736142053188532</v>
      </c>
      <c r="H33" s="271">
        <f>H32/(ECO!R$66*1000)</f>
        <v>0.00024274776544942663</v>
      </c>
      <c r="I33" s="271">
        <f>I32/(ECO!S$66*1000)</f>
        <v>0.00021435735478176227</v>
      </c>
      <c r="J33" s="271">
        <f>J32/(ECO!T$66*1000)</f>
        <v>0.00018827419233445155</v>
      </c>
      <c r="K33" s="271">
        <f>K32/(ECO!U$66*1000)</f>
        <v>0.0001643201226847613</v>
      </c>
      <c r="L33" s="271">
        <f>L32/(ECO!V$66*1000)</f>
        <v>0.00014235804557520226</v>
      </c>
      <c r="M33" s="271">
        <f>M32/(ECO!W$66*1000)</f>
        <v>0.0001222963388669304</v>
      </c>
      <c r="N33" s="271">
        <f>N32/(ECO!X$66*1000)</f>
        <v>0.00010401749145203123</v>
      </c>
      <c r="O33" s="968">
        <f>O32/(ECO!Y$66*1000)</f>
        <v>8.742379245004309E-05</v>
      </c>
    </row>
    <row r="34" spans="1:15" ht="15">
      <c r="A34" s="969" t="s">
        <v>71</v>
      </c>
      <c r="B34" s="970">
        <f>B32/('GGO (SQ)'!L$24*1000)</f>
        <v>0</v>
      </c>
      <c r="C34" s="964">
        <f>C32/('GGO (SQ)'!M$24*1000)</f>
        <v>0</v>
      </c>
      <c r="D34" s="964">
        <f>D32/('GGO (SQ)'!N$24*1000)</f>
        <v>0.0006799981614931814</v>
      </c>
      <c r="E34" s="964">
        <f>E32/('GGO (SQ)'!O$24*1000)</f>
        <v>0.0011758249317314676</v>
      </c>
      <c r="F34" s="964">
        <f>F32/('GGO (SQ)'!P$24*1000)</f>
        <v>0.0015210326198537454</v>
      </c>
      <c r="G34" s="964">
        <f>G32/('GGO (SQ)'!Q$24*1000)</f>
        <v>0.0017444533333594353</v>
      </c>
      <c r="H34" s="964">
        <f>H32/('GGO (SQ)'!R$24*1000)</f>
        <v>0.0015476614165932279</v>
      </c>
      <c r="I34" s="964">
        <f>I32/('GGO (SQ)'!S$24*1000)</f>
        <v>0.001366655658990343</v>
      </c>
      <c r="J34" s="964">
        <f>J32/('GGO (SQ)'!T$24*1000)</f>
        <v>0.001200359981385655</v>
      </c>
      <c r="K34" s="964">
        <f>K32/('GGO (SQ)'!U$24*1000)</f>
        <v>0.001047638536973694</v>
      </c>
      <c r="L34" s="964">
        <f>L32/('GGO (SQ)'!V$24*1000)</f>
        <v>0.0009076172300513394</v>
      </c>
      <c r="M34" s="964">
        <f>M32/('GGO (SQ)'!W$24*1000)</f>
        <v>0.0007797119149769953</v>
      </c>
      <c r="N34" s="964">
        <f>N32/('GGO (SQ)'!X$24*1000)</f>
        <v>0.0006631733885297639</v>
      </c>
      <c r="O34" s="971">
        <f>O32/('GGO (SQ)'!Y$24*1000)</f>
        <v>0.0005573786857180136</v>
      </c>
    </row>
    <row r="35" ht="12" customHeight="1"/>
    <row r="36" spans="1:16" ht="14.25" customHeight="1">
      <c r="A36" s="1117" t="s">
        <v>385</v>
      </c>
      <c r="B36" s="1118"/>
      <c r="C36" s="1118"/>
      <c r="D36" s="1118"/>
      <c r="E36" s="1118"/>
      <c r="F36" s="1118"/>
      <c r="G36" s="1118"/>
      <c r="H36" s="1118"/>
      <c r="I36" s="1118"/>
      <c r="J36" s="1118"/>
      <c r="K36" s="1118"/>
      <c r="L36" s="1118"/>
      <c r="M36" s="1118"/>
      <c r="N36" s="1118"/>
      <c r="O36" s="1119"/>
      <c r="P36" s="1113"/>
    </row>
    <row r="37" spans="1:16" ht="15">
      <c r="A37" s="32" t="s">
        <v>409</v>
      </c>
      <c r="B37" s="33">
        <f>B11</f>
        <v>4290.325665352465</v>
      </c>
      <c r="C37" s="34">
        <f aca="true" t="shared" si="12" ref="C37:O37">C11</f>
        <v>4114.8419450134215</v>
      </c>
      <c r="D37" s="34">
        <f t="shared" si="12"/>
        <v>3928.016778061644</v>
      </c>
      <c r="E37" s="34">
        <f t="shared" si="12"/>
        <v>3736.4788984564716</v>
      </c>
      <c r="F37" s="31">
        <f t="shared" si="12"/>
        <v>3541.9709445198446</v>
      </c>
      <c r="G37" s="31">
        <f t="shared" si="12"/>
        <v>3345.0657548809927</v>
      </c>
      <c r="H37" s="31">
        <f t="shared" si="12"/>
        <v>3145.771143396765</v>
      </c>
      <c r="I37" s="31">
        <f t="shared" si="12"/>
        <v>2944.531046812396</v>
      </c>
      <c r="J37" s="31">
        <f t="shared" si="12"/>
        <v>2741.4126168852013</v>
      </c>
      <c r="K37" s="31">
        <f t="shared" si="12"/>
        <v>2536.180912889361</v>
      </c>
      <c r="L37" s="31">
        <f t="shared" si="12"/>
        <v>2329.042220819843</v>
      </c>
      <c r="M37" s="31">
        <f t="shared" si="12"/>
        <v>2120.873011800682</v>
      </c>
      <c r="N37" s="31">
        <f t="shared" si="12"/>
        <v>1912.1125453543993</v>
      </c>
      <c r="O37" s="29">
        <f t="shared" si="12"/>
        <v>1703.5017442837743</v>
      </c>
      <c r="P37" s="1113"/>
    </row>
    <row r="38" spans="1:16" s="35" customFormat="1" ht="15">
      <c r="A38" s="32" t="s">
        <v>74</v>
      </c>
      <c r="B38" s="266">
        <v>0</v>
      </c>
      <c r="C38" s="267">
        <v>0</v>
      </c>
      <c r="D38" s="267">
        <v>0.25</v>
      </c>
      <c r="E38" s="267">
        <v>0.5</v>
      </c>
      <c r="F38" s="267">
        <v>0.75</v>
      </c>
      <c r="G38" s="267">
        <v>1</v>
      </c>
      <c r="H38" s="267">
        <v>1</v>
      </c>
      <c r="I38" s="267">
        <v>1</v>
      </c>
      <c r="J38" s="267">
        <v>1</v>
      </c>
      <c r="K38" s="267">
        <v>1</v>
      </c>
      <c r="L38" s="267">
        <v>1</v>
      </c>
      <c r="M38" s="267">
        <v>1</v>
      </c>
      <c r="N38" s="267">
        <v>1</v>
      </c>
      <c r="O38" s="967">
        <v>1</v>
      </c>
      <c r="P38" s="1113"/>
    </row>
    <row r="39" spans="1:16" s="35" customFormat="1" ht="15">
      <c r="A39" s="32" t="s">
        <v>70</v>
      </c>
      <c r="B39" s="33">
        <f>B37*B38</f>
        <v>0</v>
      </c>
      <c r="C39" s="34">
        <f aca="true" t="shared" si="13" ref="C39:O39">C37*C38</f>
        <v>0</v>
      </c>
      <c r="D39" s="34">
        <f t="shared" si="13"/>
        <v>982.004194515411</v>
      </c>
      <c r="E39" s="34">
        <f t="shared" si="13"/>
        <v>1868.2394492282358</v>
      </c>
      <c r="F39" s="31">
        <f t="shared" si="13"/>
        <v>2656.4782083898835</v>
      </c>
      <c r="G39" s="31">
        <f t="shared" si="13"/>
        <v>3345.0657548809927</v>
      </c>
      <c r="H39" s="31">
        <f t="shared" si="13"/>
        <v>3145.771143396765</v>
      </c>
      <c r="I39" s="31">
        <f t="shared" si="13"/>
        <v>2944.531046812396</v>
      </c>
      <c r="J39" s="31">
        <f t="shared" si="13"/>
        <v>2741.4126168852013</v>
      </c>
      <c r="K39" s="31">
        <f t="shared" si="13"/>
        <v>2536.180912889361</v>
      </c>
      <c r="L39" s="31">
        <f t="shared" si="13"/>
        <v>2329.042220819843</v>
      </c>
      <c r="M39" s="31">
        <f t="shared" si="13"/>
        <v>2120.873011800682</v>
      </c>
      <c r="N39" s="31">
        <f t="shared" si="13"/>
        <v>1912.1125453543993</v>
      </c>
      <c r="O39" s="900">
        <f t="shared" si="13"/>
        <v>1703.5017442837743</v>
      </c>
      <c r="P39" s="1113"/>
    </row>
    <row r="40" spans="1:16" s="35" customFormat="1" ht="15">
      <c r="A40" s="32"/>
      <c r="B40" s="33"/>
      <c r="C40" s="34"/>
      <c r="D40" s="34"/>
      <c r="E40" s="34"/>
      <c r="F40" s="34"/>
      <c r="G40" s="31"/>
      <c r="H40" s="31"/>
      <c r="I40" s="31"/>
      <c r="J40" s="31"/>
      <c r="K40" s="31"/>
      <c r="L40" s="31"/>
      <c r="M40" s="31"/>
      <c r="N40" s="31"/>
      <c r="O40" s="900"/>
      <c r="P40" s="1113"/>
    </row>
    <row r="41" spans="1:15" s="35" customFormat="1" ht="15">
      <c r="A41" s="32" t="s">
        <v>171</v>
      </c>
      <c r="B41" s="33">
        <f>((B39*50%*2400)+(B39*50%*3600))/1000</f>
        <v>0</v>
      </c>
      <c r="C41" s="34">
        <f aca="true" t="shared" si="14" ref="C41:O41">((C39*50%*2400)+(C39*50%*3600))/1000</f>
        <v>0</v>
      </c>
      <c r="D41" s="34">
        <f t="shared" si="14"/>
        <v>2946.0125835462327</v>
      </c>
      <c r="E41" s="34">
        <f t="shared" si="14"/>
        <v>5604.718347684708</v>
      </c>
      <c r="F41" s="31">
        <f t="shared" si="14"/>
        <v>7969.434625169651</v>
      </c>
      <c r="G41" s="31">
        <f t="shared" si="14"/>
        <v>10035.197264642979</v>
      </c>
      <c r="H41" s="31">
        <f t="shared" si="14"/>
        <v>9437.313430190296</v>
      </c>
      <c r="I41" s="31">
        <f t="shared" si="14"/>
        <v>8833.59314043719</v>
      </c>
      <c r="J41" s="31">
        <f t="shared" si="14"/>
        <v>8224.237850655603</v>
      </c>
      <c r="K41" s="31">
        <f t="shared" si="14"/>
        <v>7608.542738668083</v>
      </c>
      <c r="L41" s="31">
        <f t="shared" si="14"/>
        <v>6987.126662459528</v>
      </c>
      <c r="M41" s="31">
        <f t="shared" si="14"/>
        <v>6362.619035402046</v>
      </c>
      <c r="N41" s="31">
        <f t="shared" si="14"/>
        <v>5736.337636063197</v>
      </c>
      <c r="O41" s="900">
        <f t="shared" si="14"/>
        <v>5110.505232851323</v>
      </c>
    </row>
    <row r="42" spans="1:15" s="35" customFormat="1" ht="15">
      <c r="A42" s="32" t="s">
        <v>174</v>
      </c>
      <c r="B42" s="33">
        <f>100%*B41</f>
        <v>0</v>
      </c>
      <c r="C42" s="34">
        <f aca="true" t="shared" si="15" ref="C42:O42">100%*C41</f>
        <v>0</v>
      </c>
      <c r="D42" s="34">
        <f t="shared" si="15"/>
        <v>2946.0125835462327</v>
      </c>
      <c r="E42" s="34">
        <f t="shared" si="15"/>
        <v>5604.718347684708</v>
      </c>
      <c r="F42" s="34">
        <f t="shared" si="15"/>
        <v>7969.434625169651</v>
      </c>
      <c r="G42" s="31">
        <f t="shared" si="15"/>
        <v>10035.197264642979</v>
      </c>
      <c r="H42" s="31">
        <f t="shared" si="15"/>
        <v>9437.313430190296</v>
      </c>
      <c r="I42" s="31">
        <f t="shared" si="15"/>
        <v>8833.59314043719</v>
      </c>
      <c r="J42" s="31">
        <f t="shared" si="15"/>
        <v>8224.237850655603</v>
      </c>
      <c r="K42" s="31">
        <f t="shared" si="15"/>
        <v>7608.542738668083</v>
      </c>
      <c r="L42" s="31">
        <f t="shared" si="15"/>
        <v>6987.126662459528</v>
      </c>
      <c r="M42" s="31">
        <f t="shared" si="15"/>
        <v>6362.619035402046</v>
      </c>
      <c r="N42" s="31">
        <f t="shared" si="15"/>
        <v>5736.337636063197</v>
      </c>
      <c r="O42" s="900">
        <f t="shared" si="15"/>
        <v>5110.505232851323</v>
      </c>
    </row>
    <row r="43" spans="1:16" s="35" customFormat="1" ht="15">
      <c r="A43" s="32" t="s">
        <v>86</v>
      </c>
      <c r="B43" s="33">
        <f>3%*B41</f>
        <v>0</v>
      </c>
      <c r="C43" s="34">
        <f>3%*C41</f>
        <v>0</v>
      </c>
      <c r="D43" s="34">
        <f>10%*D41</f>
        <v>294.60125835462327</v>
      </c>
      <c r="E43" s="34">
        <f aca="true" t="shared" si="16" ref="E43:O43">10%*E41</f>
        <v>560.4718347684708</v>
      </c>
      <c r="F43" s="34">
        <f t="shared" si="16"/>
        <v>796.9434625169652</v>
      </c>
      <c r="G43" s="34">
        <f t="shared" si="16"/>
        <v>1003.519726464298</v>
      </c>
      <c r="H43" s="34">
        <f t="shared" si="16"/>
        <v>943.7313430190296</v>
      </c>
      <c r="I43" s="34">
        <f t="shared" si="16"/>
        <v>883.359314043719</v>
      </c>
      <c r="J43" s="34">
        <f t="shared" si="16"/>
        <v>822.4237850655604</v>
      </c>
      <c r="K43" s="34">
        <f t="shared" si="16"/>
        <v>760.8542738668084</v>
      </c>
      <c r="L43" s="34">
        <f t="shared" si="16"/>
        <v>698.7126662459528</v>
      </c>
      <c r="M43" s="34">
        <f t="shared" si="16"/>
        <v>636.2619035402047</v>
      </c>
      <c r="N43" s="34">
        <f t="shared" si="16"/>
        <v>573.6337636063198</v>
      </c>
      <c r="O43" s="819">
        <f t="shared" si="16"/>
        <v>511.05052328513233</v>
      </c>
      <c r="P43" s="31"/>
    </row>
    <row r="44" spans="1:16" ht="15">
      <c r="A44" s="32"/>
      <c r="B44" s="263"/>
      <c r="C44" s="31"/>
      <c r="D44" s="31"/>
      <c r="E44" s="31"/>
      <c r="F44" s="31"/>
      <c r="G44" s="31"/>
      <c r="H44" s="31"/>
      <c r="I44" s="31"/>
      <c r="J44" s="31"/>
      <c r="K44" s="31"/>
      <c r="L44" s="31"/>
      <c r="M44" s="31"/>
      <c r="N44" s="31"/>
      <c r="O44" s="900"/>
      <c r="P44" s="31"/>
    </row>
    <row r="45" spans="1:15" ht="15">
      <c r="A45" s="43" t="s">
        <v>88</v>
      </c>
      <c r="B45" s="44">
        <f aca="true" t="shared" si="17" ref="B45:O45">B42+B43</f>
        <v>0</v>
      </c>
      <c r="C45" s="45">
        <f t="shared" si="17"/>
        <v>0</v>
      </c>
      <c r="D45" s="45">
        <f t="shared" si="17"/>
        <v>3240.6138419008557</v>
      </c>
      <c r="E45" s="45">
        <f t="shared" si="17"/>
        <v>6165.190182453179</v>
      </c>
      <c r="F45" s="45">
        <f t="shared" si="17"/>
        <v>8766.378087686615</v>
      </c>
      <c r="G45" s="45">
        <f t="shared" si="17"/>
        <v>11038.716991107276</v>
      </c>
      <c r="H45" s="45">
        <f t="shared" si="17"/>
        <v>10381.044773209325</v>
      </c>
      <c r="I45" s="45">
        <f t="shared" si="17"/>
        <v>9716.952454480908</v>
      </c>
      <c r="J45" s="45">
        <f t="shared" si="17"/>
        <v>9046.661635721164</v>
      </c>
      <c r="K45" s="45">
        <f t="shared" si="17"/>
        <v>8369.397012534891</v>
      </c>
      <c r="L45" s="45">
        <f t="shared" si="17"/>
        <v>7685.839328705481</v>
      </c>
      <c r="M45" s="45">
        <f t="shared" si="17"/>
        <v>6998.880938942251</v>
      </c>
      <c r="N45" s="45">
        <f t="shared" si="17"/>
        <v>6309.971399669517</v>
      </c>
      <c r="O45" s="874">
        <f t="shared" si="17"/>
        <v>5621.555756136455</v>
      </c>
    </row>
    <row r="46" spans="1:15" ht="15">
      <c r="A46" s="43" t="s">
        <v>569</v>
      </c>
      <c r="B46" s="270">
        <f>B45/(ECO!L$66*1000)</f>
        <v>0</v>
      </c>
      <c r="C46" s="271">
        <f>C45/(ECO!M$66*1000)</f>
        <v>0</v>
      </c>
      <c r="D46" s="271">
        <f>D45/(ECO!N$66*1000)</f>
        <v>0.00019553677964988023</v>
      </c>
      <c r="E46" s="271">
        <f>E45/(ECO!O$66*1000)</f>
        <v>0.00033811417971770056</v>
      </c>
      <c r="F46" s="271">
        <f>F45/(ECO!P$66*1000)</f>
        <v>0.00043738032993432467</v>
      </c>
      <c r="G46" s="271">
        <f>G45/(ECO!Q$66*1000)</f>
        <v>0.0005016260430845643</v>
      </c>
      <c r="H46" s="271">
        <f>H45/(ECO!R$66*1000)</f>
        <v>0.0004450375699906155</v>
      </c>
      <c r="I46" s="271">
        <f>I45/(ECO!S$66*1000)</f>
        <v>0.0003929884837665642</v>
      </c>
      <c r="J46" s="271">
        <f>J45/(ECO!T$66*1000)</f>
        <v>0.0003451693526131612</v>
      </c>
      <c r="K46" s="271">
        <f>K45/(ECO!U$66*1000)</f>
        <v>0.00030125355825539566</v>
      </c>
      <c r="L46" s="271">
        <f>L45/(ECO!V$66*1000)</f>
        <v>0.0002609897502212041</v>
      </c>
      <c r="M46" s="271">
        <f>M45/(ECO!W$66*1000)</f>
        <v>0.00022420995458937243</v>
      </c>
      <c r="N46" s="271">
        <f>N45/(ECO!X$66*1000)</f>
        <v>0.0001906987343287239</v>
      </c>
      <c r="O46" s="968">
        <f>O45/(ECO!Y$66*1000)</f>
        <v>0.00016027695282507898</v>
      </c>
    </row>
    <row r="47" spans="1:15" ht="15">
      <c r="A47" s="969" t="s">
        <v>71</v>
      </c>
      <c r="B47" s="970">
        <f>B45/('GGO (SQ)'!L$24*1000)</f>
        <v>0</v>
      </c>
      <c r="C47" s="964">
        <f>C45/('GGO (SQ)'!M$24*1000)</f>
        <v>0</v>
      </c>
      <c r="D47" s="964">
        <f>D45/('GGO (SQ)'!N$24*1000)</f>
        <v>0.0012466632960708324</v>
      </c>
      <c r="E47" s="964">
        <f>E45/('GGO (SQ)'!O$24*1000)</f>
        <v>0.0021556790415076907</v>
      </c>
      <c r="F47" s="964">
        <f>F45/('GGO (SQ)'!P$24*1000)</f>
        <v>0.0027885598030651993</v>
      </c>
      <c r="G47" s="964">
        <f>G45/('GGO (SQ)'!Q$24*1000)</f>
        <v>0.0031981644444922983</v>
      </c>
      <c r="H47" s="964">
        <f>H45/('GGO (SQ)'!R$24*1000)</f>
        <v>0.0028373792637542508</v>
      </c>
      <c r="I47" s="964">
        <f>I45/('GGO (SQ)'!S$24*1000)</f>
        <v>0.0025055353748156288</v>
      </c>
      <c r="J47" s="964">
        <f>J45/('GGO (SQ)'!T$24*1000)</f>
        <v>0.0022006599658737015</v>
      </c>
      <c r="K47" s="964">
        <f>K45/('GGO (SQ)'!U$24*1000)</f>
        <v>0.0019206706511184387</v>
      </c>
      <c r="L47" s="964">
        <f>L45/('GGO (SQ)'!V$24*1000)</f>
        <v>0.001663964921760789</v>
      </c>
      <c r="M47" s="964">
        <f>M45/('GGO (SQ)'!W$24*1000)</f>
        <v>0.0014294718441244915</v>
      </c>
      <c r="N47" s="964">
        <f>N45/('GGO (SQ)'!X$24*1000)</f>
        <v>0.0012158178789712338</v>
      </c>
      <c r="O47" s="971">
        <f>O45/('GGO (SQ)'!Y$24*1000)</f>
        <v>0.0010218609238163581</v>
      </c>
    </row>
    <row r="50" spans="1:44" s="254" customFormat="1" ht="15">
      <c r="A50" s="259" t="s">
        <v>522</v>
      </c>
      <c r="B50" s="116">
        <v>2015</v>
      </c>
      <c r="C50" s="116">
        <v>2016</v>
      </c>
      <c r="D50" s="116">
        <v>2017</v>
      </c>
      <c r="E50" s="116">
        <v>2018</v>
      </c>
      <c r="F50" s="116">
        <v>2019</v>
      </c>
      <c r="G50" s="116">
        <v>2020</v>
      </c>
      <c r="H50" s="116">
        <v>2021</v>
      </c>
      <c r="I50" s="116">
        <v>2022</v>
      </c>
      <c r="J50" s="116">
        <v>2023</v>
      </c>
      <c r="K50" s="116">
        <v>2024</v>
      </c>
      <c r="L50" s="116">
        <v>2025</v>
      </c>
      <c r="M50" s="116">
        <v>2026</v>
      </c>
      <c r="N50" s="116">
        <v>2027</v>
      </c>
      <c r="O50" s="116">
        <v>2028</v>
      </c>
      <c r="P50" s="35"/>
      <c r="Q50" s="35"/>
      <c r="R50" s="35"/>
      <c r="S50" s="35"/>
      <c r="T50" s="35"/>
      <c r="U50" s="35"/>
      <c r="V50" s="35"/>
      <c r="W50" s="35"/>
      <c r="X50" s="35"/>
      <c r="Y50" s="35"/>
      <c r="Z50" s="35"/>
      <c r="AA50" s="21"/>
      <c r="AB50" s="21"/>
      <c r="AC50" s="21"/>
      <c r="AD50" s="21"/>
      <c r="AE50" s="21"/>
      <c r="AF50" s="21"/>
      <c r="AG50" s="21"/>
      <c r="AH50" s="21"/>
      <c r="AI50" s="21"/>
      <c r="AJ50" s="21"/>
      <c r="AK50" s="21"/>
      <c r="AL50" s="21"/>
      <c r="AM50" s="21"/>
      <c r="AN50" s="21"/>
      <c r="AO50" s="21"/>
      <c r="AP50" s="21"/>
      <c r="AQ50" s="21"/>
      <c r="AR50" s="21"/>
    </row>
    <row r="51" spans="1:44" s="254" customFormat="1" ht="15">
      <c r="A51" s="863" t="str">
        <f>A20</f>
        <v>Cost of Scenario 1 (% of GDP)</v>
      </c>
      <c r="B51" s="865">
        <f>B20</f>
        <v>0</v>
      </c>
      <c r="C51" s="866">
        <f aca="true" t="shared" si="18" ref="C51:I51">C20</f>
        <v>0</v>
      </c>
      <c r="D51" s="866">
        <f t="shared" si="18"/>
        <v>7.110428350904736E-05</v>
      </c>
      <c r="E51" s="866">
        <f t="shared" si="18"/>
        <v>0.00012295061080643658</v>
      </c>
      <c r="F51" s="866">
        <f t="shared" si="18"/>
        <v>0.0001590473927033908</v>
      </c>
      <c r="G51" s="866">
        <f t="shared" si="18"/>
        <v>0.0001824094702125688</v>
      </c>
      <c r="H51" s="866">
        <f t="shared" si="18"/>
        <v>0.0001618318436329511</v>
      </c>
      <c r="I51" s="866">
        <f t="shared" si="18"/>
        <v>0.00014290490318784153</v>
      </c>
      <c r="J51" s="866">
        <f aca="true" t="shared" si="19" ref="J51:O51">J20</f>
        <v>0.0001255161282229677</v>
      </c>
      <c r="K51" s="866">
        <f t="shared" si="19"/>
        <v>0.00010954674845650752</v>
      </c>
      <c r="L51" s="866">
        <f t="shared" si="19"/>
        <v>9.490536371680148E-05</v>
      </c>
      <c r="M51" s="866">
        <f t="shared" si="19"/>
        <v>8.153089257795362E-05</v>
      </c>
      <c r="N51" s="866">
        <f t="shared" si="19"/>
        <v>6.934499430135415E-05</v>
      </c>
      <c r="O51" s="875">
        <f t="shared" si="19"/>
        <v>5.828252830002873E-05</v>
      </c>
      <c r="P51" s="35"/>
      <c r="Q51" s="35"/>
      <c r="R51" s="35"/>
      <c r="S51" s="35"/>
      <c r="T51" s="35"/>
      <c r="U51" s="35"/>
      <c r="V51" s="35"/>
      <c r="W51" s="35"/>
      <c r="X51" s="35"/>
      <c r="Y51" s="35"/>
      <c r="Z51" s="35"/>
      <c r="AA51" s="21"/>
      <c r="AB51" s="21"/>
      <c r="AC51" s="21"/>
      <c r="AD51" s="21"/>
      <c r="AE51" s="21"/>
      <c r="AF51" s="21"/>
      <c r="AG51" s="21"/>
      <c r="AH51" s="21"/>
      <c r="AI51" s="21"/>
      <c r="AJ51" s="21"/>
      <c r="AK51" s="21"/>
      <c r="AL51" s="21"/>
      <c r="AM51" s="21"/>
      <c r="AN51" s="21"/>
      <c r="AO51" s="21"/>
      <c r="AP51" s="21"/>
      <c r="AQ51" s="21"/>
      <c r="AR51" s="21"/>
    </row>
    <row r="52" spans="1:44" s="254" customFormat="1" ht="15">
      <c r="A52" s="864" t="str">
        <f>A33</f>
        <v>Cost of Scenario 2 (% of GDP)</v>
      </c>
      <c r="B52" s="865">
        <f>B33</f>
        <v>0</v>
      </c>
      <c r="C52" s="866">
        <f aca="true" t="shared" si="20" ref="C52:I52">C33</f>
        <v>0</v>
      </c>
      <c r="D52" s="866">
        <f t="shared" si="20"/>
        <v>0.00010665642526357104</v>
      </c>
      <c r="E52" s="866">
        <f t="shared" si="20"/>
        <v>0.00018442591620965485</v>
      </c>
      <c r="F52" s="866">
        <f t="shared" si="20"/>
        <v>0.00023857108905508623</v>
      </c>
      <c r="G52" s="866">
        <f t="shared" si="20"/>
        <v>0.0002736142053188532</v>
      </c>
      <c r="H52" s="866">
        <f t="shared" si="20"/>
        <v>0.00024274776544942663</v>
      </c>
      <c r="I52" s="866">
        <f t="shared" si="20"/>
        <v>0.00021435735478176227</v>
      </c>
      <c r="J52" s="866">
        <f aca="true" t="shared" si="21" ref="J52:O52">J33</f>
        <v>0.00018827419233445155</v>
      </c>
      <c r="K52" s="866">
        <f t="shared" si="21"/>
        <v>0.0001643201226847613</v>
      </c>
      <c r="L52" s="866">
        <f t="shared" si="21"/>
        <v>0.00014235804557520226</v>
      </c>
      <c r="M52" s="866">
        <f t="shared" si="21"/>
        <v>0.0001222963388669304</v>
      </c>
      <c r="N52" s="866">
        <f t="shared" si="21"/>
        <v>0.00010401749145203123</v>
      </c>
      <c r="O52" s="867">
        <f t="shared" si="21"/>
        <v>8.742379245004309E-05</v>
      </c>
      <c r="P52" s="35"/>
      <c r="Q52" s="35"/>
      <c r="R52" s="35"/>
      <c r="S52" s="35"/>
      <c r="T52" s="35"/>
      <c r="U52" s="35"/>
      <c r="V52" s="35"/>
      <c r="W52" s="35"/>
      <c r="X52" s="35"/>
      <c r="Y52" s="35"/>
      <c r="Z52" s="35"/>
      <c r="AA52" s="21"/>
      <c r="AB52" s="21"/>
      <c r="AC52" s="21"/>
      <c r="AD52" s="21"/>
      <c r="AE52" s="21"/>
      <c r="AF52" s="21"/>
      <c r="AG52" s="21"/>
      <c r="AH52" s="21"/>
      <c r="AI52" s="21"/>
      <c r="AJ52" s="21"/>
      <c r="AK52" s="21"/>
      <c r="AL52" s="21"/>
      <c r="AM52" s="21"/>
      <c r="AN52" s="21"/>
      <c r="AO52" s="21"/>
      <c r="AP52" s="21"/>
      <c r="AQ52" s="21"/>
      <c r="AR52" s="21"/>
    </row>
    <row r="53" spans="1:15" ht="15">
      <c r="A53" s="972" t="str">
        <f>A46</f>
        <v>Cost of Scenario 3 (% of GDP)</v>
      </c>
      <c r="B53" s="973">
        <f>B46</f>
        <v>0</v>
      </c>
      <c r="C53" s="966">
        <f aca="true" t="shared" si="22" ref="C53:I53">C46</f>
        <v>0</v>
      </c>
      <c r="D53" s="966">
        <f t="shared" si="22"/>
        <v>0.00019553677964988023</v>
      </c>
      <c r="E53" s="966">
        <f t="shared" si="22"/>
        <v>0.00033811417971770056</v>
      </c>
      <c r="F53" s="966">
        <f t="shared" si="22"/>
        <v>0.00043738032993432467</v>
      </c>
      <c r="G53" s="966">
        <f t="shared" si="22"/>
        <v>0.0005016260430845643</v>
      </c>
      <c r="H53" s="966">
        <f t="shared" si="22"/>
        <v>0.0004450375699906155</v>
      </c>
      <c r="I53" s="966">
        <f t="shared" si="22"/>
        <v>0.0003929884837665642</v>
      </c>
      <c r="J53" s="966">
        <f aca="true" t="shared" si="23" ref="J53:O53">J46</f>
        <v>0.0003451693526131612</v>
      </c>
      <c r="K53" s="966">
        <f t="shared" si="23"/>
        <v>0.00030125355825539566</v>
      </c>
      <c r="L53" s="966">
        <f t="shared" si="23"/>
        <v>0.0002609897502212041</v>
      </c>
      <c r="M53" s="966">
        <f t="shared" si="23"/>
        <v>0.00022420995458937243</v>
      </c>
      <c r="N53" s="966">
        <f t="shared" si="23"/>
        <v>0.0001906987343287239</v>
      </c>
      <c r="O53" s="974">
        <f t="shared" si="23"/>
        <v>0.00016027695282507898</v>
      </c>
    </row>
    <row r="54" spans="1:15" ht="15">
      <c r="A54" s="864" t="s">
        <v>599</v>
      </c>
      <c r="B54" s="865">
        <f>B21</f>
        <v>0</v>
      </c>
      <c r="C54" s="866">
        <f aca="true" t="shared" si="24" ref="C54:O54">C21</f>
        <v>0</v>
      </c>
      <c r="D54" s="866">
        <f t="shared" si="24"/>
        <v>0.00045333210766212095</v>
      </c>
      <c r="E54" s="866">
        <f t="shared" si="24"/>
        <v>0.0007838832878209784</v>
      </c>
      <c r="F54" s="866">
        <f t="shared" si="24"/>
        <v>0.0010140217465691634</v>
      </c>
      <c r="G54" s="866">
        <f t="shared" si="24"/>
        <v>0.0011629688889062903</v>
      </c>
      <c r="H54" s="866">
        <f t="shared" si="24"/>
        <v>0.0010317742777288185</v>
      </c>
      <c r="I54" s="866">
        <f t="shared" si="24"/>
        <v>0.0009111037726602287</v>
      </c>
      <c r="J54" s="866">
        <f t="shared" si="24"/>
        <v>0.0008002399875904367</v>
      </c>
      <c r="K54" s="866">
        <f t="shared" si="24"/>
        <v>0.0006984256913157959</v>
      </c>
      <c r="L54" s="866">
        <f t="shared" si="24"/>
        <v>0.0006050781533675595</v>
      </c>
      <c r="M54" s="866">
        <f t="shared" si="24"/>
        <v>0.0005198079433179969</v>
      </c>
      <c r="N54" s="866">
        <f t="shared" si="24"/>
        <v>0.0004421155923531759</v>
      </c>
      <c r="O54" s="875">
        <f t="shared" si="24"/>
        <v>0.00037158579047867575</v>
      </c>
    </row>
    <row r="55" spans="1:15" ht="15">
      <c r="A55" s="864" t="s">
        <v>598</v>
      </c>
      <c r="B55" s="865">
        <f>B34</f>
        <v>0</v>
      </c>
      <c r="C55" s="866">
        <f aca="true" t="shared" si="25" ref="C55:O55">C34</f>
        <v>0</v>
      </c>
      <c r="D55" s="866">
        <f t="shared" si="25"/>
        <v>0.0006799981614931814</v>
      </c>
      <c r="E55" s="866">
        <f t="shared" si="25"/>
        <v>0.0011758249317314676</v>
      </c>
      <c r="F55" s="866">
        <f t="shared" si="25"/>
        <v>0.0015210326198537454</v>
      </c>
      <c r="G55" s="866">
        <f t="shared" si="25"/>
        <v>0.0017444533333594353</v>
      </c>
      <c r="H55" s="866">
        <f t="shared" si="25"/>
        <v>0.0015476614165932279</v>
      </c>
      <c r="I55" s="866">
        <f t="shared" si="25"/>
        <v>0.001366655658990343</v>
      </c>
      <c r="J55" s="866">
        <f t="shared" si="25"/>
        <v>0.001200359981385655</v>
      </c>
      <c r="K55" s="866">
        <f t="shared" si="25"/>
        <v>0.001047638536973694</v>
      </c>
      <c r="L55" s="866">
        <f t="shared" si="25"/>
        <v>0.0009076172300513394</v>
      </c>
      <c r="M55" s="866">
        <f t="shared" si="25"/>
        <v>0.0007797119149769953</v>
      </c>
      <c r="N55" s="866">
        <f t="shared" si="25"/>
        <v>0.0006631733885297639</v>
      </c>
      <c r="O55" s="867">
        <f t="shared" si="25"/>
        <v>0.0005573786857180136</v>
      </c>
    </row>
    <row r="56" spans="1:15" ht="15">
      <c r="A56" s="864" t="s">
        <v>600</v>
      </c>
      <c r="B56" s="973">
        <f>B47</f>
        <v>0</v>
      </c>
      <c r="C56" s="966">
        <f aca="true" t="shared" si="26" ref="C56:O56">C47</f>
        <v>0</v>
      </c>
      <c r="D56" s="966">
        <f t="shared" si="26"/>
        <v>0.0012466632960708324</v>
      </c>
      <c r="E56" s="966">
        <f t="shared" si="26"/>
        <v>0.0021556790415076907</v>
      </c>
      <c r="F56" s="966">
        <f t="shared" si="26"/>
        <v>0.0027885598030651993</v>
      </c>
      <c r="G56" s="966">
        <f t="shared" si="26"/>
        <v>0.0031981644444922983</v>
      </c>
      <c r="H56" s="966">
        <f t="shared" si="26"/>
        <v>0.0028373792637542508</v>
      </c>
      <c r="I56" s="966">
        <f t="shared" si="26"/>
        <v>0.0025055353748156288</v>
      </c>
      <c r="J56" s="966">
        <f t="shared" si="26"/>
        <v>0.0022006599658737015</v>
      </c>
      <c r="K56" s="966">
        <f t="shared" si="26"/>
        <v>0.0019206706511184387</v>
      </c>
      <c r="L56" s="966">
        <f t="shared" si="26"/>
        <v>0.001663964921760789</v>
      </c>
      <c r="M56" s="966">
        <f t="shared" si="26"/>
        <v>0.0014294718441244915</v>
      </c>
      <c r="N56" s="966">
        <f t="shared" si="26"/>
        <v>0.0012158178789712338</v>
      </c>
      <c r="O56" s="974">
        <f t="shared" si="26"/>
        <v>0.0010218609238163581</v>
      </c>
    </row>
    <row r="57" spans="1:44" s="254" customFormat="1" ht="15">
      <c r="A57" s="975" t="str">
        <f>A19</f>
        <v>Cost of Scenario 1 (PHP million)</v>
      </c>
      <c r="B57" s="976">
        <f>B19</f>
        <v>0</v>
      </c>
      <c r="C57" s="977">
        <f aca="true" t="shared" si="27" ref="C57:I57">C19</f>
        <v>0</v>
      </c>
      <c r="D57" s="977">
        <f t="shared" si="27"/>
        <v>1178.405033418493</v>
      </c>
      <c r="E57" s="977">
        <f t="shared" si="27"/>
        <v>2241.887339073883</v>
      </c>
      <c r="F57" s="977">
        <f t="shared" si="27"/>
        <v>3187.77385006786</v>
      </c>
      <c r="G57" s="977">
        <f t="shared" si="27"/>
        <v>4014.0789058571913</v>
      </c>
      <c r="H57" s="977">
        <f t="shared" si="27"/>
        <v>3774.9253720761185</v>
      </c>
      <c r="I57" s="977">
        <f t="shared" si="27"/>
        <v>3533.437256174876</v>
      </c>
      <c r="J57" s="977">
        <f aca="true" t="shared" si="28" ref="J57:O57">J19</f>
        <v>3289.6951402622412</v>
      </c>
      <c r="K57" s="977">
        <f t="shared" si="28"/>
        <v>3043.417095467233</v>
      </c>
      <c r="L57" s="977">
        <f t="shared" si="28"/>
        <v>2794.850664983811</v>
      </c>
      <c r="M57" s="977">
        <f t="shared" si="28"/>
        <v>2545.0476141608187</v>
      </c>
      <c r="N57" s="977">
        <f t="shared" si="28"/>
        <v>2294.5350544252788</v>
      </c>
      <c r="O57" s="978">
        <f t="shared" si="28"/>
        <v>2044.2020931405293</v>
      </c>
      <c r="P57" s="35"/>
      <c r="Q57" s="35"/>
      <c r="R57" s="35"/>
      <c r="S57" s="35"/>
      <c r="T57" s="35"/>
      <c r="U57" s="35"/>
      <c r="V57" s="35"/>
      <c r="W57" s="35"/>
      <c r="X57" s="35"/>
      <c r="Y57" s="35"/>
      <c r="Z57" s="35"/>
      <c r="AA57" s="21"/>
      <c r="AB57" s="21"/>
      <c r="AC57" s="21"/>
      <c r="AD57" s="21"/>
      <c r="AE57" s="21"/>
      <c r="AF57" s="21"/>
      <c r="AG57" s="21"/>
      <c r="AH57" s="21"/>
      <c r="AI57" s="21"/>
      <c r="AJ57" s="21"/>
      <c r="AK57" s="21"/>
      <c r="AL57" s="21"/>
      <c r="AM57" s="21"/>
      <c r="AN57" s="21"/>
      <c r="AO57" s="21"/>
      <c r="AP57" s="21"/>
      <c r="AQ57" s="21"/>
      <c r="AR57" s="21"/>
    </row>
    <row r="58" spans="1:44" s="254" customFormat="1" ht="15">
      <c r="A58" s="864" t="str">
        <f>A32</f>
        <v>Cost of Scenario 2 (PHP million)</v>
      </c>
      <c r="B58" s="901">
        <f>B32</f>
        <v>0</v>
      </c>
      <c r="C58" s="902">
        <f aca="true" t="shared" si="29" ref="C58:I58">C32</f>
        <v>0</v>
      </c>
      <c r="D58" s="902">
        <f t="shared" si="29"/>
        <v>1767.6075501277396</v>
      </c>
      <c r="E58" s="902">
        <f t="shared" si="29"/>
        <v>3362.8310086108245</v>
      </c>
      <c r="F58" s="902">
        <f t="shared" si="29"/>
        <v>4781.660775101791</v>
      </c>
      <c r="G58" s="902">
        <f t="shared" si="29"/>
        <v>6021.118358785787</v>
      </c>
      <c r="H58" s="902">
        <f t="shared" si="29"/>
        <v>5662.3880581141775</v>
      </c>
      <c r="I58" s="902">
        <f t="shared" si="29"/>
        <v>5300.1558842623135</v>
      </c>
      <c r="J58" s="902">
        <f aca="true" t="shared" si="30" ref="J58:O58">J32</f>
        <v>4934.542710393362</v>
      </c>
      <c r="K58" s="902">
        <f t="shared" si="30"/>
        <v>4565.12564320085</v>
      </c>
      <c r="L58" s="902">
        <f t="shared" si="30"/>
        <v>4192.275997475717</v>
      </c>
      <c r="M58" s="902">
        <f t="shared" si="30"/>
        <v>3817.5714212412277</v>
      </c>
      <c r="N58" s="902">
        <f t="shared" si="30"/>
        <v>3441.8025816379186</v>
      </c>
      <c r="O58" s="979">
        <f t="shared" si="30"/>
        <v>3066.303139710794</v>
      </c>
      <c r="P58" s="35"/>
      <c r="Q58" s="35"/>
      <c r="R58" s="35"/>
      <c r="S58" s="35"/>
      <c r="T58" s="35"/>
      <c r="U58" s="35"/>
      <c r="V58" s="35"/>
      <c r="W58" s="35"/>
      <c r="X58" s="35"/>
      <c r="Y58" s="35"/>
      <c r="Z58" s="35"/>
      <c r="AA58" s="21"/>
      <c r="AB58" s="21"/>
      <c r="AC58" s="21"/>
      <c r="AD58" s="21"/>
      <c r="AE58" s="21"/>
      <c r="AF58" s="21"/>
      <c r="AG58" s="21"/>
      <c r="AH58" s="21"/>
      <c r="AI58" s="21"/>
      <c r="AJ58" s="21"/>
      <c r="AK58" s="21"/>
      <c r="AL58" s="21"/>
      <c r="AM58" s="21"/>
      <c r="AN58" s="21"/>
      <c r="AO58" s="21"/>
      <c r="AP58" s="21"/>
      <c r="AQ58" s="21"/>
      <c r="AR58" s="21"/>
    </row>
    <row r="59" spans="1:15" ht="15">
      <c r="A59" s="972" t="str">
        <f>A45</f>
        <v>Cost of Scenario 3 (PHP million)</v>
      </c>
      <c r="B59" s="980">
        <f>B45</f>
        <v>0</v>
      </c>
      <c r="C59" s="981">
        <f aca="true" t="shared" si="31" ref="C59:I59">C45</f>
        <v>0</v>
      </c>
      <c r="D59" s="981">
        <f t="shared" si="31"/>
        <v>3240.6138419008557</v>
      </c>
      <c r="E59" s="981">
        <f t="shared" si="31"/>
        <v>6165.190182453179</v>
      </c>
      <c r="F59" s="981">
        <f t="shared" si="31"/>
        <v>8766.378087686615</v>
      </c>
      <c r="G59" s="981">
        <f t="shared" si="31"/>
        <v>11038.716991107276</v>
      </c>
      <c r="H59" s="981">
        <f t="shared" si="31"/>
        <v>10381.044773209325</v>
      </c>
      <c r="I59" s="981">
        <f t="shared" si="31"/>
        <v>9716.952454480908</v>
      </c>
      <c r="J59" s="981">
        <f aca="true" t="shared" si="32" ref="J59:O59">J45</f>
        <v>9046.661635721164</v>
      </c>
      <c r="K59" s="981">
        <f t="shared" si="32"/>
        <v>8369.397012534891</v>
      </c>
      <c r="L59" s="981">
        <f t="shared" si="32"/>
        <v>7685.839328705481</v>
      </c>
      <c r="M59" s="981">
        <f t="shared" si="32"/>
        <v>6998.880938942251</v>
      </c>
      <c r="N59" s="981">
        <f t="shared" si="32"/>
        <v>6309.971399669517</v>
      </c>
      <c r="O59" s="982">
        <f t="shared" si="32"/>
        <v>5621.555756136455</v>
      </c>
    </row>
  </sheetData>
  <mergeCells count="9">
    <mergeCell ref="P36:P40"/>
    <mergeCell ref="F4:G4"/>
    <mergeCell ref="F5:G5"/>
    <mergeCell ref="P10:P13"/>
    <mergeCell ref="P23:P27"/>
    <mergeCell ref="P14:P21"/>
    <mergeCell ref="A23:O23"/>
    <mergeCell ref="A36:O36"/>
    <mergeCell ref="A10:O10"/>
  </mergeCells>
  <printOptions/>
  <pageMargins left="0.7" right="0.7" top="0.75" bottom="0.75" header="0.3" footer="0.3"/>
  <pageSetup horizontalDpi="600" verticalDpi="600" orientation="portrait" paperSize="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86"/>
  <sheetViews>
    <sheetView zoomScale="90" zoomScaleNormal="90" workbookViewId="0" topLeftCell="A1">
      <pane ySplit="8" topLeftCell="A9" activePane="bottomLeft" state="frozen"/>
      <selection pane="bottomLeft" activeCell="A104" sqref="A104"/>
    </sheetView>
  </sheetViews>
  <sheetFormatPr defaultColWidth="8.8515625" defaultRowHeight="15"/>
  <cols>
    <col min="1" max="1" width="56.7109375" style="21" customWidth="1"/>
    <col min="2" max="2" width="10.7109375" style="20" customWidth="1"/>
    <col min="3" max="15" width="10.7109375" style="21" customWidth="1"/>
    <col min="16" max="16" width="46.57421875" style="21" customWidth="1"/>
    <col min="17" max="16384" width="8.8515625" style="21" customWidth="1"/>
  </cols>
  <sheetData>
    <row r="1" ht="18">
      <c r="A1" s="19" t="s">
        <v>281</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626" t="s">
        <v>76</v>
      </c>
      <c r="B8" s="82">
        <v>2015</v>
      </c>
      <c r="C8" s="82">
        <v>2016</v>
      </c>
      <c r="D8" s="82">
        <v>2017</v>
      </c>
      <c r="E8" s="82">
        <v>2018</v>
      </c>
      <c r="F8" s="82">
        <v>2019</v>
      </c>
      <c r="G8" s="82">
        <v>2020</v>
      </c>
      <c r="H8" s="82">
        <v>2021</v>
      </c>
      <c r="I8" s="82">
        <v>2022</v>
      </c>
      <c r="J8" s="82">
        <v>2023</v>
      </c>
      <c r="K8" s="82">
        <v>2024</v>
      </c>
      <c r="L8" s="82">
        <v>2025</v>
      </c>
      <c r="M8" s="82">
        <v>2026</v>
      </c>
      <c r="N8" s="82">
        <v>2027</v>
      </c>
      <c r="O8" s="82">
        <v>2028</v>
      </c>
      <c r="P8" s="27" t="s">
        <v>77</v>
      </c>
    </row>
    <row r="9" spans="1:15" ht="15">
      <c r="A9" s="41"/>
      <c r="B9" s="454"/>
      <c r="C9" s="41"/>
      <c r="D9" s="41"/>
      <c r="E9" s="41"/>
      <c r="F9" s="41"/>
      <c r="G9" s="41"/>
      <c r="H9" s="41"/>
      <c r="I9" s="41"/>
      <c r="J9" s="41"/>
      <c r="K9" s="41"/>
      <c r="L9" s="41"/>
      <c r="M9" s="41"/>
      <c r="N9" s="41"/>
      <c r="O9" s="41"/>
    </row>
    <row r="10" spans="1:15" ht="15">
      <c r="A10" s="1128" t="s">
        <v>142</v>
      </c>
      <c r="B10" s="1128"/>
      <c r="C10" s="1128"/>
      <c r="D10" s="1128"/>
      <c r="E10" s="1128"/>
      <c r="F10" s="1128"/>
      <c r="G10" s="1128"/>
      <c r="H10" s="1128"/>
      <c r="I10" s="1128"/>
      <c r="J10" s="1128"/>
      <c r="K10" s="1128"/>
      <c r="L10" s="1128"/>
      <c r="M10" s="1128"/>
      <c r="N10" s="1128"/>
      <c r="O10" s="1128"/>
    </row>
    <row r="11" spans="1:16" ht="15">
      <c r="A11" s="1117" t="s">
        <v>357</v>
      </c>
      <c r="B11" s="1118"/>
      <c r="C11" s="1118"/>
      <c r="D11" s="1118"/>
      <c r="E11" s="1118"/>
      <c r="F11" s="1118"/>
      <c r="G11" s="1118"/>
      <c r="H11" s="1118"/>
      <c r="I11" s="1118"/>
      <c r="J11" s="1118"/>
      <c r="K11" s="1118"/>
      <c r="L11" s="1118"/>
      <c r="M11" s="1118"/>
      <c r="N11" s="1118"/>
      <c r="O11" s="1119"/>
      <c r="P11" s="1126" t="s">
        <v>410</v>
      </c>
    </row>
    <row r="12" spans="1:16" ht="14.25" customHeight="1">
      <c r="A12" s="918" t="s">
        <v>608</v>
      </c>
      <c r="B12" s="639">
        <v>600</v>
      </c>
      <c r="C12" s="1124" t="s">
        <v>609</v>
      </c>
      <c r="D12" s="1124"/>
      <c r="E12" s="1124"/>
      <c r="F12" s="1124"/>
      <c r="G12" s="1124"/>
      <c r="H12" s="639">
        <v>360</v>
      </c>
      <c r="I12" s="1123" t="s">
        <v>610</v>
      </c>
      <c r="J12" s="1123"/>
      <c r="K12" s="1123"/>
      <c r="L12" s="1123"/>
      <c r="M12" s="639">
        <v>600</v>
      </c>
      <c r="N12" s="983"/>
      <c r="O12" s="984"/>
      <c r="P12" s="1126"/>
    </row>
    <row r="13" spans="1:16" ht="15">
      <c r="A13" s="40"/>
      <c r="B13" s="454"/>
      <c r="C13" s="41"/>
      <c r="D13" s="41"/>
      <c r="E13" s="41"/>
      <c r="F13" s="41"/>
      <c r="G13" s="41"/>
      <c r="H13" s="41"/>
      <c r="I13" s="41"/>
      <c r="J13" s="41"/>
      <c r="K13" s="41"/>
      <c r="L13" s="41"/>
      <c r="M13" s="41"/>
      <c r="N13" s="41"/>
      <c r="O13" s="905"/>
      <c r="P13" s="1126" t="s">
        <v>587</v>
      </c>
    </row>
    <row r="14" spans="1:16" ht="15">
      <c r="A14" s="903" t="s">
        <v>318</v>
      </c>
      <c r="B14" s="606">
        <f>POP!L105</f>
        <v>4353.597</v>
      </c>
      <c r="C14" s="607">
        <f>POP!M105</f>
        <v>4691.1</v>
      </c>
      <c r="D14" s="607">
        <f>POP!N105</f>
        <v>5028.6</v>
      </c>
      <c r="E14" s="607">
        <f>POP!O105</f>
        <v>5366.1</v>
      </c>
      <c r="F14" s="607">
        <f>POP!P105</f>
        <v>5703.6</v>
      </c>
      <c r="G14" s="607">
        <f>POP!Q105</f>
        <v>6041.1</v>
      </c>
      <c r="H14" s="607">
        <f>POP!R105</f>
        <v>6378.6</v>
      </c>
      <c r="I14" s="607">
        <f>POP!S105</f>
        <v>6534.624931901088</v>
      </c>
      <c r="J14" s="607">
        <f>POP!T105</f>
        <v>6566.489725053358</v>
      </c>
      <c r="K14" s="607">
        <f>POP!U105</f>
        <v>6595.990603300354</v>
      </c>
      <c r="L14" s="607">
        <f>POP!V105</f>
        <v>6623.433011635569</v>
      </c>
      <c r="M14" s="607">
        <f>POP!W105</f>
        <v>6648.433944971596</v>
      </c>
      <c r="N14" s="607">
        <f>POP!X105</f>
        <v>6671.016858982</v>
      </c>
      <c r="O14" s="908">
        <f>POP!Y105</f>
        <v>6691.31612861443</v>
      </c>
      <c r="P14" s="1126"/>
    </row>
    <row r="15" spans="1:16" ht="15">
      <c r="A15" s="904" t="s">
        <v>575</v>
      </c>
      <c r="B15" s="606">
        <f>POP!L107</f>
        <v>10235.658</v>
      </c>
      <c r="C15" s="607">
        <f>POP!M107</f>
        <v>11783.094177983956</v>
      </c>
      <c r="D15" s="607">
        <f>POP!N107</f>
        <v>12630.82590083565</v>
      </c>
      <c r="E15" s="607">
        <f>POP!O107</f>
        <v>13478.557623687346</v>
      </c>
      <c r="F15" s="607">
        <f>POP!P107</f>
        <v>14326.28934653904</v>
      </c>
      <c r="G15" s="607">
        <f>POP!Q107</f>
        <v>15174.021069390736</v>
      </c>
      <c r="H15" s="607">
        <f>POP!R107</f>
        <v>16021.75279224243</v>
      </c>
      <c r="I15" s="607">
        <f>POP!S107</f>
        <v>16413.655856918955</v>
      </c>
      <c r="J15" s="607">
        <f>POP!T107</f>
        <v>16493.693770984988</v>
      </c>
      <c r="K15" s="607">
        <f>POP!U107</f>
        <v>16567.794009035257</v>
      </c>
      <c r="L15" s="607">
        <f>POP!V107</f>
        <v>16636.723787101066</v>
      </c>
      <c r="M15" s="607">
        <f>POP!W107</f>
        <v>16699.521073885808</v>
      </c>
      <c r="N15" s="607">
        <f>POP!X107</f>
        <v>16756.24478529633</v>
      </c>
      <c r="O15" s="908">
        <f>POP!Y107</f>
        <v>16807.23244401672</v>
      </c>
      <c r="P15" s="1126"/>
    </row>
    <row r="16" spans="1:16" ht="15">
      <c r="A16" s="985"/>
      <c r="B16" s="279"/>
      <c r="C16" s="279"/>
      <c r="D16" s="279"/>
      <c r="E16" s="279"/>
      <c r="F16" s="279"/>
      <c r="G16" s="279"/>
      <c r="H16" s="279"/>
      <c r="I16" s="279"/>
      <c r="J16" s="279"/>
      <c r="K16" s="279"/>
      <c r="L16" s="279"/>
      <c r="M16" s="279"/>
      <c r="N16" s="279"/>
      <c r="O16" s="907"/>
      <c r="P16" s="1126"/>
    </row>
    <row r="17" spans="1:16" ht="15">
      <c r="A17" s="632" t="s">
        <v>74</v>
      </c>
      <c r="B17" s="269">
        <v>0</v>
      </c>
      <c r="C17" s="269">
        <v>0</v>
      </c>
      <c r="D17" s="269">
        <v>1</v>
      </c>
      <c r="E17" s="269">
        <v>1</v>
      </c>
      <c r="F17" s="269">
        <v>1</v>
      </c>
      <c r="G17" s="269">
        <v>1</v>
      </c>
      <c r="H17" s="269">
        <v>1</v>
      </c>
      <c r="I17" s="269">
        <v>1</v>
      </c>
      <c r="J17" s="269">
        <v>1</v>
      </c>
      <c r="K17" s="269">
        <v>1</v>
      </c>
      <c r="L17" s="269">
        <v>1</v>
      </c>
      <c r="M17" s="269">
        <v>1</v>
      </c>
      <c r="N17" s="269">
        <v>1</v>
      </c>
      <c r="O17" s="906">
        <v>1</v>
      </c>
      <c r="P17" s="1126"/>
    </row>
    <row r="18" spans="1:16" ht="15">
      <c r="A18" s="632"/>
      <c r="B18" s="269"/>
      <c r="C18" s="269"/>
      <c r="D18" s="269"/>
      <c r="E18" s="269"/>
      <c r="F18" s="269"/>
      <c r="G18" s="269"/>
      <c r="H18" s="269"/>
      <c r="I18" s="269"/>
      <c r="J18" s="269"/>
      <c r="K18" s="269"/>
      <c r="L18" s="269"/>
      <c r="M18" s="269"/>
      <c r="N18" s="269"/>
      <c r="O18" s="906"/>
      <c r="P18" s="1126"/>
    </row>
    <row r="19" spans="1:16" ht="15">
      <c r="A19" s="986" t="s">
        <v>618</v>
      </c>
      <c r="B19" s="454"/>
      <c r="C19" s="41"/>
      <c r="D19" s="41"/>
      <c r="E19" s="41"/>
      <c r="F19" s="41"/>
      <c r="G19" s="41"/>
      <c r="H19" s="41"/>
      <c r="I19" s="41"/>
      <c r="J19" s="41"/>
      <c r="K19" s="41"/>
      <c r="L19" s="41"/>
      <c r="M19" s="41"/>
      <c r="N19" s="41"/>
      <c r="O19" s="905"/>
      <c r="P19" s="1126"/>
    </row>
    <row r="20" spans="1:16" ht="15">
      <c r="A20" s="655" t="s">
        <v>322</v>
      </c>
      <c r="B20" s="454"/>
      <c r="C20" s="41"/>
      <c r="D20" s="41"/>
      <c r="E20" s="41"/>
      <c r="F20" s="41"/>
      <c r="G20" s="41"/>
      <c r="H20" s="41"/>
      <c r="I20" s="41"/>
      <c r="J20" s="41"/>
      <c r="K20" s="41"/>
      <c r="L20" s="41"/>
      <c r="M20" s="41"/>
      <c r="N20" s="41"/>
      <c r="O20" s="905"/>
      <c r="P20" s="1126"/>
    </row>
    <row r="21" spans="1:15" ht="15">
      <c r="A21" s="632" t="s">
        <v>70</v>
      </c>
      <c r="B21" s="263">
        <f aca="true" t="shared" si="0" ref="B21:O21">B14*B17</f>
        <v>0</v>
      </c>
      <c r="C21" s="31">
        <f t="shared" si="0"/>
        <v>0</v>
      </c>
      <c r="D21" s="31">
        <f t="shared" si="0"/>
        <v>5028.6</v>
      </c>
      <c r="E21" s="31">
        <f t="shared" si="0"/>
        <v>5366.1</v>
      </c>
      <c r="F21" s="31">
        <f t="shared" si="0"/>
        <v>5703.6</v>
      </c>
      <c r="G21" s="31">
        <f t="shared" si="0"/>
        <v>6041.1</v>
      </c>
      <c r="H21" s="31">
        <f t="shared" si="0"/>
        <v>6378.6</v>
      </c>
      <c r="I21" s="31">
        <f t="shared" si="0"/>
        <v>6534.624931901088</v>
      </c>
      <c r="J21" s="31">
        <f t="shared" si="0"/>
        <v>6566.489725053358</v>
      </c>
      <c r="K21" s="31">
        <f t="shared" si="0"/>
        <v>6595.990603300354</v>
      </c>
      <c r="L21" s="31">
        <f t="shared" si="0"/>
        <v>6623.433011635569</v>
      </c>
      <c r="M21" s="31">
        <f t="shared" si="0"/>
        <v>6648.433944971596</v>
      </c>
      <c r="N21" s="31">
        <f t="shared" si="0"/>
        <v>6671.016858982</v>
      </c>
      <c r="O21" s="900">
        <f t="shared" si="0"/>
        <v>6691.31612861443</v>
      </c>
    </row>
    <row r="22" spans="1:15" ht="15">
      <c r="A22" s="632" t="s">
        <v>611</v>
      </c>
      <c r="B22" s="263">
        <f>B12*12</f>
        <v>7200</v>
      </c>
      <c r="C22" s="31">
        <f>B22</f>
        <v>7200</v>
      </c>
      <c r="D22" s="31">
        <f aca="true" t="shared" si="1" ref="D22:O22">C22</f>
        <v>7200</v>
      </c>
      <c r="E22" s="31">
        <f t="shared" si="1"/>
        <v>7200</v>
      </c>
      <c r="F22" s="31">
        <f t="shared" si="1"/>
        <v>7200</v>
      </c>
      <c r="G22" s="31">
        <f t="shared" si="1"/>
        <v>7200</v>
      </c>
      <c r="H22" s="31">
        <f t="shared" si="1"/>
        <v>7200</v>
      </c>
      <c r="I22" s="31">
        <f t="shared" si="1"/>
        <v>7200</v>
      </c>
      <c r="J22" s="31">
        <f t="shared" si="1"/>
        <v>7200</v>
      </c>
      <c r="K22" s="31">
        <f t="shared" si="1"/>
        <v>7200</v>
      </c>
      <c r="L22" s="31">
        <f t="shared" si="1"/>
        <v>7200</v>
      </c>
      <c r="M22" s="31">
        <f t="shared" si="1"/>
        <v>7200</v>
      </c>
      <c r="N22" s="31">
        <f t="shared" si="1"/>
        <v>7200</v>
      </c>
      <c r="O22" s="900">
        <f t="shared" si="1"/>
        <v>7200</v>
      </c>
    </row>
    <row r="23" spans="1:15" ht="15">
      <c r="A23" s="632" t="s">
        <v>613</v>
      </c>
      <c r="B23" s="263">
        <f>500*12</f>
        <v>6000</v>
      </c>
      <c r="C23" s="31">
        <f aca="true" t="shared" si="2" ref="C23:O23">500*12</f>
        <v>6000</v>
      </c>
      <c r="D23" s="31">
        <f t="shared" si="2"/>
        <v>6000</v>
      </c>
      <c r="E23" s="31">
        <f t="shared" si="2"/>
        <v>6000</v>
      </c>
      <c r="F23" s="31">
        <f t="shared" si="2"/>
        <v>6000</v>
      </c>
      <c r="G23" s="31">
        <f t="shared" si="2"/>
        <v>6000</v>
      </c>
      <c r="H23" s="31">
        <f t="shared" si="2"/>
        <v>6000</v>
      </c>
      <c r="I23" s="31">
        <f t="shared" si="2"/>
        <v>6000</v>
      </c>
      <c r="J23" s="31">
        <f t="shared" si="2"/>
        <v>6000</v>
      </c>
      <c r="K23" s="31">
        <f t="shared" si="2"/>
        <v>6000</v>
      </c>
      <c r="L23" s="31">
        <f t="shared" si="2"/>
        <v>6000</v>
      </c>
      <c r="M23" s="31">
        <f t="shared" si="2"/>
        <v>6000</v>
      </c>
      <c r="N23" s="31">
        <f t="shared" si="2"/>
        <v>6000</v>
      </c>
      <c r="O23" s="900">
        <f t="shared" si="2"/>
        <v>6000</v>
      </c>
    </row>
    <row r="24" spans="1:15" s="869" customFormat="1" ht="15">
      <c r="A24" s="1038" t="s">
        <v>538</v>
      </c>
      <c r="B24" s="646">
        <f>B22-B23</f>
        <v>1200</v>
      </c>
      <c r="C24" s="1039">
        <f aca="true" t="shared" si="3" ref="C24:O24">C22-C23</f>
        <v>1200</v>
      </c>
      <c r="D24" s="1039">
        <f t="shared" si="3"/>
        <v>1200</v>
      </c>
      <c r="E24" s="1039">
        <f t="shared" si="3"/>
        <v>1200</v>
      </c>
      <c r="F24" s="1039">
        <f t="shared" si="3"/>
        <v>1200</v>
      </c>
      <c r="G24" s="1039">
        <f t="shared" si="3"/>
        <v>1200</v>
      </c>
      <c r="H24" s="1039">
        <f t="shared" si="3"/>
        <v>1200</v>
      </c>
      <c r="I24" s="1039">
        <f t="shared" si="3"/>
        <v>1200</v>
      </c>
      <c r="J24" s="1039">
        <f t="shared" si="3"/>
        <v>1200</v>
      </c>
      <c r="K24" s="1039">
        <f t="shared" si="3"/>
        <v>1200</v>
      </c>
      <c r="L24" s="1039">
        <f t="shared" si="3"/>
        <v>1200</v>
      </c>
      <c r="M24" s="1039">
        <f t="shared" si="3"/>
        <v>1200</v>
      </c>
      <c r="N24" s="1039">
        <f t="shared" si="3"/>
        <v>1200</v>
      </c>
      <c r="O24" s="1040">
        <f t="shared" si="3"/>
        <v>1200</v>
      </c>
    </row>
    <row r="25" spans="1:15" ht="15">
      <c r="A25" s="632"/>
      <c r="B25" s="263"/>
      <c r="C25" s="31"/>
      <c r="D25" s="31"/>
      <c r="E25" s="31"/>
      <c r="F25" s="31"/>
      <c r="G25" s="31"/>
      <c r="H25" s="31"/>
      <c r="I25" s="31"/>
      <c r="J25" s="31"/>
      <c r="K25" s="31"/>
      <c r="L25" s="31"/>
      <c r="M25" s="31"/>
      <c r="N25" s="31"/>
      <c r="O25" s="900"/>
    </row>
    <row r="26" spans="1:15" s="1037" customFormat="1" ht="15">
      <c r="A26" s="987" t="s">
        <v>612</v>
      </c>
      <c r="B26" s="1034">
        <f>(B21*B24)/1000</f>
        <v>0</v>
      </c>
      <c r="C26" s="1035">
        <f aca="true" t="shared" si="4" ref="C26:O26">(C21*C24)/1000</f>
        <v>0</v>
      </c>
      <c r="D26" s="1035">
        <f>(D21*D24)/1000</f>
        <v>6034.32</v>
      </c>
      <c r="E26" s="1035">
        <f t="shared" si="4"/>
        <v>6439.32</v>
      </c>
      <c r="F26" s="1035">
        <f t="shared" si="4"/>
        <v>6844.32</v>
      </c>
      <c r="G26" s="1035">
        <f t="shared" si="4"/>
        <v>7249.32</v>
      </c>
      <c r="H26" s="1035">
        <f t="shared" si="4"/>
        <v>7654.32</v>
      </c>
      <c r="I26" s="1035">
        <f t="shared" si="4"/>
        <v>7841.5499182813055</v>
      </c>
      <c r="J26" s="1035">
        <f t="shared" si="4"/>
        <v>7879.787670064029</v>
      </c>
      <c r="K26" s="1035">
        <f t="shared" si="4"/>
        <v>7915.188723960426</v>
      </c>
      <c r="L26" s="1035">
        <f t="shared" si="4"/>
        <v>7948.119613962682</v>
      </c>
      <c r="M26" s="1035">
        <f t="shared" si="4"/>
        <v>7978.120733965916</v>
      </c>
      <c r="N26" s="1035">
        <f t="shared" si="4"/>
        <v>8005.2202307784</v>
      </c>
      <c r="O26" s="1036">
        <f t="shared" si="4"/>
        <v>8029.5793543373165</v>
      </c>
    </row>
    <row r="27" spans="1:15" ht="15">
      <c r="A27" s="632"/>
      <c r="B27" s="263"/>
      <c r="C27" s="31"/>
      <c r="D27" s="31"/>
      <c r="E27" s="31"/>
      <c r="F27" s="31"/>
      <c r="G27" s="31"/>
      <c r="H27" s="31"/>
      <c r="I27" s="31"/>
      <c r="J27" s="31"/>
      <c r="K27" s="31"/>
      <c r="L27" s="31"/>
      <c r="M27" s="31"/>
      <c r="N27" s="31"/>
      <c r="O27" s="900"/>
    </row>
    <row r="28" spans="1:15" ht="15">
      <c r="A28" s="986" t="s">
        <v>586</v>
      </c>
      <c r="B28" s="263"/>
      <c r="C28" s="31"/>
      <c r="D28" s="31"/>
      <c r="E28" s="31"/>
      <c r="F28" s="31"/>
      <c r="G28" s="31"/>
      <c r="H28" s="31"/>
      <c r="I28" s="31"/>
      <c r="J28" s="31"/>
      <c r="K28" s="31"/>
      <c r="L28" s="31"/>
      <c r="M28" s="31"/>
      <c r="N28" s="31"/>
      <c r="O28" s="900"/>
    </row>
    <row r="29" spans="1:16" ht="15">
      <c r="A29" s="904" t="s">
        <v>576</v>
      </c>
      <c r="B29" s="606">
        <f>B15*87%</f>
        <v>8905.02246</v>
      </c>
      <c r="C29" s="607">
        <f aca="true" t="shared" si="5" ref="C29:O29">C15*87%</f>
        <v>10251.291934846042</v>
      </c>
      <c r="D29" s="607">
        <f t="shared" si="5"/>
        <v>10988.818533727017</v>
      </c>
      <c r="E29" s="607">
        <f t="shared" si="5"/>
        <v>11726.34513260799</v>
      </c>
      <c r="F29" s="607">
        <f t="shared" si="5"/>
        <v>12463.871731488965</v>
      </c>
      <c r="G29" s="607">
        <f t="shared" si="5"/>
        <v>13201.39833036994</v>
      </c>
      <c r="H29" s="607">
        <f t="shared" si="5"/>
        <v>13938.924929250914</v>
      </c>
      <c r="I29" s="607">
        <f t="shared" si="5"/>
        <v>14279.880595519491</v>
      </c>
      <c r="J29" s="607">
        <f t="shared" si="5"/>
        <v>14349.51358075694</v>
      </c>
      <c r="K29" s="607">
        <f t="shared" si="5"/>
        <v>14413.980787860673</v>
      </c>
      <c r="L29" s="607">
        <f t="shared" si="5"/>
        <v>14473.949694777926</v>
      </c>
      <c r="M29" s="607">
        <f t="shared" si="5"/>
        <v>14528.583334280653</v>
      </c>
      <c r="N29" s="607">
        <f t="shared" si="5"/>
        <v>14577.932963207808</v>
      </c>
      <c r="O29" s="908">
        <f t="shared" si="5"/>
        <v>14622.292226294547</v>
      </c>
      <c r="P29" s="909" t="s">
        <v>588</v>
      </c>
    </row>
    <row r="30" spans="1:15" ht="15">
      <c r="A30" s="632"/>
      <c r="B30" s="263"/>
      <c r="C30" s="31"/>
      <c r="D30" s="31"/>
      <c r="E30" s="31"/>
      <c r="F30" s="31"/>
      <c r="G30" s="31"/>
      <c r="H30" s="31"/>
      <c r="I30" s="31"/>
      <c r="J30" s="31"/>
      <c r="K30" s="31"/>
      <c r="L30" s="31"/>
      <c r="M30" s="31"/>
      <c r="N30" s="31"/>
      <c r="O30" s="900"/>
    </row>
    <row r="31" spans="1:15" ht="15">
      <c r="A31" s="655" t="s">
        <v>323</v>
      </c>
      <c r="B31" s="263"/>
      <c r="C31" s="31"/>
      <c r="D31" s="31"/>
      <c r="E31" s="31"/>
      <c r="F31" s="31"/>
      <c r="G31" s="31"/>
      <c r="H31" s="31"/>
      <c r="I31" s="31"/>
      <c r="J31" s="31"/>
      <c r="K31" s="31"/>
      <c r="L31" s="31"/>
      <c r="M31" s="31"/>
      <c r="N31" s="31"/>
      <c r="O31" s="900"/>
    </row>
    <row r="32" spans="1:16" ht="15">
      <c r="A32" s="632" t="s">
        <v>566</v>
      </c>
      <c r="B32" s="263">
        <f>((B29*Calculations!L129)*(Calculations!L172+Calculations!L173))+(B29*Calculations!L130)+(B29*Calculations!L131)</f>
        <v>6574.106542136137</v>
      </c>
      <c r="C32" s="31">
        <f>((C29*Calculations!M129)*(Calculations!M172+Calculations!M173))+(C29*Calculations!M130)+(C29*Calculations!M131)</f>
        <v>7628.647850925711</v>
      </c>
      <c r="D32" s="31">
        <f>((D29*Calculations!N129)*(Calculations!N172+Calculations!N173))+(D29*Calculations!N130)+(D29*Calculations!N131)</f>
        <v>8242.516813573782</v>
      </c>
      <c r="E32" s="31">
        <f>((E29*Calculations!O129)*(Calculations!O172+Calculations!O173))+(E29*Calculations!O130)+(E29*Calculations!O131)</f>
        <v>8865.113494785317</v>
      </c>
      <c r="F32" s="31">
        <f>((F29*Calculations!P129)*(Calculations!P172+Calculations!P173))+(F29*Calculations!P130)+(F29*Calculations!P131)</f>
        <v>9496.437878096858</v>
      </c>
      <c r="G32" s="31">
        <f>((G29*Calculations!Q129)*(Calculations!Q172+Calculations!Q173))+(G29*Calculations!Q130)+(G29*Calculations!Q131)</f>
        <v>10136.492520593907</v>
      </c>
      <c r="H32" s="31">
        <f>((H29*Calculations!R129)*(Calculations!R172+Calculations!R173))+(H29*Calculations!R130)+(H29*Calculations!R131)</f>
        <v>10785.587734232144</v>
      </c>
      <c r="I32" s="31">
        <f>((I29*Calculations!S129)*(Calculations!S172+Calculations!S173))+(I29*Calculations!S130)+(I29*Calculations!S131)</f>
        <v>11134.191688515188</v>
      </c>
      <c r="J32" s="31">
        <f>((J29*Calculations!T129)*(Calculations!T172+Calculations!T173))+(J29*Calculations!T130)+(J29*Calculations!T131)</f>
        <v>11273.629336959219</v>
      </c>
      <c r="K32" s="31">
        <f>((K29*Calculations!U129)*(Calculations!U172+Calculations!U173))+(K29*Calculations!U130)+(K29*Calculations!U131)</f>
        <v>11409.753472581975</v>
      </c>
      <c r="L32" s="31">
        <f>((L29*Calculations!V129)*(Calculations!V172+Calculations!V173))+(L29*Calculations!V130)+(L29*Calculations!V131)</f>
        <v>11543.003829484787</v>
      </c>
      <c r="M32" s="31">
        <f>((M29*Calculations!W129)*(Calculations!W172+Calculations!W173))+(M29*Calculations!W130)+(M29*Calculations!W131)</f>
        <v>11672.6273559161</v>
      </c>
      <c r="N32" s="31">
        <f>((N29*Calculations!X129)*(Calculations!X172+Calculations!X173))+(N29*Calculations!X130)+(N29*Calculations!X131)</f>
        <v>11798.5701566996</v>
      </c>
      <c r="O32" s="900">
        <f>((O29*Calculations!Y129)*(Calculations!Y172+Calculations!Y173))+(O29*Calculations!Y130)+(O29*Calculations!Y131)</f>
        <v>11920.977271555006</v>
      </c>
      <c r="P32" s="608"/>
    </row>
    <row r="33" spans="1:16" ht="15">
      <c r="A33" s="632" t="s">
        <v>70</v>
      </c>
      <c r="B33" s="263">
        <f aca="true" t="shared" si="6" ref="B33:O33">B32*B17</f>
        <v>0</v>
      </c>
      <c r="C33" s="31">
        <f t="shared" si="6"/>
        <v>0</v>
      </c>
      <c r="D33" s="31">
        <f t="shared" si="6"/>
        <v>8242.516813573782</v>
      </c>
      <c r="E33" s="31">
        <f t="shared" si="6"/>
        <v>8865.113494785317</v>
      </c>
      <c r="F33" s="31">
        <f t="shared" si="6"/>
        <v>9496.437878096858</v>
      </c>
      <c r="G33" s="31">
        <f t="shared" si="6"/>
        <v>10136.492520593907</v>
      </c>
      <c r="H33" s="31">
        <f t="shared" si="6"/>
        <v>10785.587734232144</v>
      </c>
      <c r="I33" s="31">
        <f t="shared" si="6"/>
        <v>11134.191688515188</v>
      </c>
      <c r="J33" s="31">
        <f t="shared" si="6"/>
        <v>11273.629336959219</v>
      </c>
      <c r="K33" s="31">
        <f t="shared" si="6"/>
        <v>11409.753472581975</v>
      </c>
      <c r="L33" s="31">
        <f t="shared" si="6"/>
        <v>11543.003829484787</v>
      </c>
      <c r="M33" s="31">
        <f t="shared" si="6"/>
        <v>11672.6273559161</v>
      </c>
      <c r="N33" s="31">
        <f t="shared" si="6"/>
        <v>11798.5701566996</v>
      </c>
      <c r="O33" s="900">
        <f t="shared" si="6"/>
        <v>11920.977271555006</v>
      </c>
      <c r="P33" s="608"/>
    </row>
    <row r="34" spans="1:15" ht="15">
      <c r="A34" s="632" t="s">
        <v>614</v>
      </c>
      <c r="B34" s="263">
        <f>($H$12*10)</f>
        <v>3600</v>
      </c>
      <c r="C34" s="31">
        <f aca="true" t="shared" si="7" ref="C34:I34">B34</f>
        <v>3600</v>
      </c>
      <c r="D34" s="31">
        <f t="shared" si="7"/>
        <v>3600</v>
      </c>
      <c r="E34" s="31">
        <f t="shared" si="7"/>
        <v>3600</v>
      </c>
      <c r="F34" s="31">
        <f t="shared" si="7"/>
        <v>3600</v>
      </c>
      <c r="G34" s="31">
        <f t="shared" si="7"/>
        <v>3600</v>
      </c>
      <c r="H34" s="31">
        <f t="shared" si="7"/>
        <v>3600</v>
      </c>
      <c r="I34" s="31">
        <f t="shared" si="7"/>
        <v>3600</v>
      </c>
      <c r="J34" s="31">
        <f aca="true" t="shared" si="8" ref="J34:O34">I34</f>
        <v>3600</v>
      </c>
      <c r="K34" s="31">
        <f t="shared" si="8"/>
        <v>3600</v>
      </c>
      <c r="L34" s="31">
        <f t="shared" si="8"/>
        <v>3600</v>
      </c>
      <c r="M34" s="31">
        <f t="shared" si="8"/>
        <v>3600</v>
      </c>
      <c r="N34" s="31">
        <f t="shared" si="8"/>
        <v>3600</v>
      </c>
      <c r="O34" s="900">
        <f t="shared" si="8"/>
        <v>3600</v>
      </c>
    </row>
    <row r="35" spans="1:15" ht="15">
      <c r="A35" s="632" t="s">
        <v>615</v>
      </c>
      <c r="B35" s="263">
        <f>300*10</f>
        <v>3000</v>
      </c>
      <c r="C35" s="31">
        <f aca="true" t="shared" si="9" ref="C35:O35">300*10</f>
        <v>3000</v>
      </c>
      <c r="D35" s="31">
        <f t="shared" si="9"/>
        <v>3000</v>
      </c>
      <c r="E35" s="31">
        <f t="shared" si="9"/>
        <v>3000</v>
      </c>
      <c r="F35" s="31">
        <f t="shared" si="9"/>
        <v>3000</v>
      </c>
      <c r="G35" s="31">
        <f t="shared" si="9"/>
        <v>3000</v>
      </c>
      <c r="H35" s="31">
        <f t="shared" si="9"/>
        <v>3000</v>
      </c>
      <c r="I35" s="31">
        <f t="shared" si="9"/>
        <v>3000</v>
      </c>
      <c r="J35" s="31">
        <f t="shared" si="9"/>
        <v>3000</v>
      </c>
      <c r="K35" s="31">
        <f t="shared" si="9"/>
        <v>3000</v>
      </c>
      <c r="L35" s="31">
        <f t="shared" si="9"/>
        <v>3000</v>
      </c>
      <c r="M35" s="31">
        <f t="shared" si="9"/>
        <v>3000</v>
      </c>
      <c r="N35" s="31">
        <f t="shared" si="9"/>
        <v>3000</v>
      </c>
      <c r="O35" s="900">
        <f t="shared" si="9"/>
        <v>3000</v>
      </c>
    </row>
    <row r="36" spans="1:15" s="869" customFormat="1" ht="15">
      <c r="A36" s="1038" t="s">
        <v>616</v>
      </c>
      <c r="B36" s="646">
        <f>B34-B35</f>
        <v>600</v>
      </c>
      <c r="C36" s="1039">
        <f aca="true" t="shared" si="10" ref="C36:O36">C34-C35</f>
        <v>600</v>
      </c>
      <c r="D36" s="1039">
        <f t="shared" si="10"/>
        <v>600</v>
      </c>
      <c r="E36" s="1039">
        <f t="shared" si="10"/>
        <v>600</v>
      </c>
      <c r="F36" s="1039">
        <f t="shared" si="10"/>
        <v>600</v>
      </c>
      <c r="G36" s="1039">
        <f t="shared" si="10"/>
        <v>600</v>
      </c>
      <c r="H36" s="1039">
        <f t="shared" si="10"/>
        <v>600</v>
      </c>
      <c r="I36" s="1039">
        <f t="shared" si="10"/>
        <v>600</v>
      </c>
      <c r="J36" s="1039">
        <f t="shared" si="10"/>
        <v>600</v>
      </c>
      <c r="K36" s="1039">
        <f t="shared" si="10"/>
        <v>600</v>
      </c>
      <c r="L36" s="1039">
        <f t="shared" si="10"/>
        <v>600</v>
      </c>
      <c r="M36" s="1039">
        <f t="shared" si="10"/>
        <v>600</v>
      </c>
      <c r="N36" s="1039">
        <f t="shared" si="10"/>
        <v>600</v>
      </c>
      <c r="O36" s="1040">
        <f t="shared" si="10"/>
        <v>600</v>
      </c>
    </row>
    <row r="37" spans="1:15" ht="15">
      <c r="A37" s="632"/>
      <c r="B37" s="263"/>
      <c r="C37" s="31"/>
      <c r="D37" s="31"/>
      <c r="E37" s="31"/>
      <c r="F37" s="31"/>
      <c r="G37" s="31"/>
      <c r="H37" s="31"/>
      <c r="I37" s="31"/>
      <c r="J37" s="31"/>
      <c r="K37" s="31"/>
      <c r="L37" s="31"/>
      <c r="M37" s="31"/>
      <c r="N37" s="31"/>
      <c r="O37" s="900"/>
    </row>
    <row r="38" spans="1:15" s="1037" customFormat="1" ht="15">
      <c r="A38" s="987" t="s">
        <v>617</v>
      </c>
      <c r="B38" s="1034">
        <f>(B33*B36)/1000</f>
        <v>0</v>
      </c>
      <c r="C38" s="1035">
        <f aca="true" t="shared" si="11" ref="C38:O38">(C33*C36)/1000</f>
        <v>0</v>
      </c>
      <c r="D38" s="1035">
        <f t="shared" si="11"/>
        <v>4945.5100881442695</v>
      </c>
      <c r="E38" s="1035">
        <f t="shared" si="11"/>
        <v>5319.0680968711895</v>
      </c>
      <c r="F38" s="1035">
        <f t="shared" si="11"/>
        <v>5697.862726858115</v>
      </c>
      <c r="G38" s="1035">
        <f t="shared" si="11"/>
        <v>6081.895512356345</v>
      </c>
      <c r="H38" s="1035">
        <f t="shared" si="11"/>
        <v>6471.352640539287</v>
      </c>
      <c r="I38" s="1035">
        <f t="shared" si="11"/>
        <v>6680.515013109112</v>
      </c>
      <c r="J38" s="1035">
        <f t="shared" si="11"/>
        <v>6764.177602175531</v>
      </c>
      <c r="K38" s="1035">
        <f t="shared" si="11"/>
        <v>6845.8520835491845</v>
      </c>
      <c r="L38" s="1035">
        <f t="shared" si="11"/>
        <v>6925.802297690872</v>
      </c>
      <c r="M38" s="1035">
        <f t="shared" si="11"/>
        <v>7003.57641354966</v>
      </c>
      <c r="N38" s="1035">
        <f t="shared" si="11"/>
        <v>7079.1420940197595</v>
      </c>
      <c r="O38" s="1036">
        <f t="shared" si="11"/>
        <v>7152.586362933003</v>
      </c>
    </row>
    <row r="39" spans="1:15" ht="15">
      <c r="A39" s="632"/>
      <c r="B39" s="263"/>
      <c r="C39" s="31"/>
      <c r="D39" s="31"/>
      <c r="E39" s="31"/>
      <c r="F39" s="31"/>
      <c r="G39" s="31"/>
      <c r="H39" s="31"/>
      <c r="I39" s="31"/>
      <c r="J39" s="31"/>
      <c r="K39" s="31"/>
      <c r="L39" s="31"/>
      <c r="M39" s="31"/>
      <c r="N39" s="31"/>
      <c r="O39" s="900"/>
    </row>
    <row r="40" spans="1:15" ht="15">
      <c r="A40" s="655" t="s">
        <v>324</v>
      </c>
      <c r="B40" s="263"/>
      <c r="C40" s="31"/>
      <c r="D40" s="31"/>
      <c r="E40" s="31"/>
      <c r="F40" s="31"/>
      <c r="G40" s="31"/>
      <c r="H40" s="31"/>
      <c r="I40" s="31"/>
      <c r="J40" s="31"/>
      <c r="K40" s="31"/>
      <c r="L40" s="31"/>
      <c r="M40" s="31"/>
      <c r="N40" s="31"/>
      <c r="O40" s="900"/>
    </row>
    <row r="41" spans="1:16" ht="15">
      <c r="A41" s="632" t="s">
        <v>565</v>
      </c>
      <c r="B41" s="263">
        <f>(B29*Calculations!L132)</f>
        <v>2106.928314036</v>
      </c>
      <c r="C41" s="31">
        <f>(C29*Calculations!M132)</f>
        <v>2378.2997288842816</v>
      </c>
      <c r="D41" s="31">
        <f>(D29*Calculations!N132)</f>
        <v>2498.8573345695236</v>
      </c>
      <c r="E41" s="31">
        <f>(E29*Calculations!O132)</f>
        <v>2612.62969554506</v>
      </c>
      <c r="F41" s="31">
        <f>(F29*Calculations!P132)</f>
        <v>2719.616811810892</v>
      </c>
      <c r="G41" s="31">
        <f>(G29*Calculations!Q132)</f>
        <v>2819.8186833670193</v>
      </c>
      <c r="H41" s="31">
        <f>(H29*Calculations!R132)</f>
        <v>2913.2353102134407</v>
      </c>
      <c r="I41" s="31">
        <f>(I29*Calculations!S132)</f>
        <v>2918.807593724184</v>
      </c>
      <c r="J41" s="31">
        <f>(J29*Calculations!T132)</f>
        <v>2867.032813435236</v>
      </c>
      <c r="K41" s="31">
        <f>(K29*Calculations!U132)</f>
        <v>2813.6090497904033</v>
      </c>
      <c r="L41" s="31">
        <f>(L29*Calculations!V132)</f>
        <v>2758.7348118246728</v>
      </c>
      <c r="M41" s="31">
        <f>(M29*Calculations!W132)</f>
        <v>2702.316500176201</v>
      </c>
      <c r="N41" s="31">
        <f>(N29*Calculations!X132)</f>
        <v>2644.437039525896</v>
      </c>
      <c r="O41" s="900">
        <f>(O29*Calculations!Y132)</f>
        <v>2585.2212656088755</v>
      </c>
      <c r="P41" s="608"/>
    </row>
    <row r="42" spans="1:16" ht="15">
      <c r="A42" s="632" t="s">
        <v>70</v>
      </c>
      <c r="B42" s="263">
        <f aca="true" t="shared" si="12" ref="B42:O42">B41*B17</f>
        <v>0</v>
      </c>
      <c r="C42" s="31">
        <f t="shared" si="12"/>
        <v>0</v>
      </c>
      <c r="D42" s="31">
        <f t="shared" si="12"/>
        <v>2498.8573345695236</v>
      </c>
      <c r="E42" s="31">
        <f t="shared" si="12"/>
        <v>2612.62969554506</v>
      </c>
      <c r="F42" s="31">
        <f t="shared" si="12"/>
        <v>2719.616811810892</v>
      </c>
      <c r="G42" s="31">
        <f t="shared" si="12"/>
        <v>2819.8186833670193</v>
      </c>
      <c r="H42" s="31">
        <f t="shared" si="12"/>
        <v>2913.2353102134407</v>
      </c>
      <c r="I42" s="31">
        <f t="shared" si="12"/>
        <v>2918.807593724184</v>
      </c>
      <c r="J42" s="31">
        <f t="shared" si="12"/>
        <v>2867.032813435236</v>
      </c>
      <c r="K42" s="31">
        <f t="shared" si="12"/>
        <v>2813.6090497904033</v>
      </c>
      <c r="L42" s="31">
        <f t="shared" si="12"/>
        <v>2758.7348118246728</v>
      </c>
      <c r="M42" s="31">
        <f t="shared" si="12"/>
        <v>2702.316500176201</v>
      </c>
      <c r="N42" s="31">
        <f t="shared" si="12"/>
        <v>2644.437039525896</v>
      </c>
      <c r="O42" s="900">
        <f t="shared" si="12"/>
        <v>2585.2212656088755</v>
      </c>
      <c r="P42" s="608"/>
    </row>
    <row r="43" spans="1:15" ht="15">
      <c r="A43" s="632" t="s">
        <v>614</v>
      </c>
      <c r="B43" s="263">
        <f>($M$12*10)</f>
        <v>6000</v>
      </c>
      <c r="C43" s="31">
        <f>B43</f>
        <v>6000</v>
      </c>
      <c r="D43" s="31">
        <f aca="true" t="shared" si="13" ref="D43:I43">C43</f>
        <v>6000</v>
      </c>
      <c r="E43" s="31">
        <f t="shared" si="13"/>
        <v>6000</v>
      </c>
      <c r="F43" s="31">
        <f t="shared" si="13"/>
        <v>6000</v>
      </c>
      <c r="G43" s="31">
        <f t="shared" si="13"/>
        <v>6000</v>
      </c>
      <c r="H43" s="31">
        <f t="shared" si="13"/>
        <v>6000</v>
      </c>
      <c r="I43" s="31">
        <f t="shared" si="13"/>
        <v>6000</v>
      </c>
      <c r="J43" s="31">
        <f aca="true" t="shared" si="14" ref="J43:O43">I43</f>
        <v>6000</v>
      </c>
      <c r="K43" s="31">
        <f t="shared" si="14"/>
        <v>6000</v>
      </c>
      <c r="L43" s="31">
        <f t="shared" si="14"/>
        <v>6000</v>
      </c>
      <c r="M43" s="31">
        <f t="shared" si="14"/>
        <v>6000</v>
      </c>
      <c r="N43" s="31">
        <f t="shared" si="14"/>
        <v>6000</v>
      </c>
      <c r="O43" s="900">
        <f t="shared" si="14"/>
        <v>6000</v>
      </c>
    </row>
    <row r="44" spans="1:15" ht="15">
      <c r="A44" s="632" t="s">
        <v>615</v>
      </c>
      <c r="B44" s="263">
        <f>500*10</f>
        <v>5000</v>
      </c>
      <c r="C44" s="31">
        <f aca="true" t="shared" si="15" ref="C44:O44">500*10</f>
        <v>5000</v>
      </c>
      <c r="D44" s="31">
        <f t="shared" si="15"/>
        <v>5000</v>
      </c>
      <c r="E44" s="31">
        <f t="shared" si="15"/>
        <v>5000</v>
      </c>
      <c r="F44" s="31">
        <f t="shared" si="15"/>
        <v>5000</v>
      </c>
      <c r="G44" s="31">
        <f t="shared" si="15"/>
        <v>5000</v>
      </c>
      <c r="H44" s="31">
        <f t="shared" si="15"/>
        <v>5000</v>
      </c>
      <c r="I44" s="31">
        <f t="shared" si="15"/>
        <v>5000</v>
      </c>
      <c r="J44" s="31">
        <f t="shared" si="15"/>
        <v>5000</v>
      </c>
      <c r="K44" s="31">
        <f t="shared" si="15"/>
        <v>5000</v>
      </c>
      <c r="L44" s="31">
        <f t="shared" si="15"/>
        <v>5000</v>
      </c>
      <c r="M44" s="31">
        <f t="shared" si="15"/>
        <v>5000</v>
      </c>
      <c r="N44" s="31">
        <f t="shared" si="15"/>
        <v>5000</v>
      </c>
      <c r="O44" s="900">
        <f t="shared" si="15"/>
        <v>5000</v>
      </c>
    </row>
    <row r="45" spans="1:15" s="869" customFormat="1" ht="15">
      <c r="A45" s="1038" t="s">
        <v>616</v>
      </c>
      <c r="B45" s="646">
        <f>B43-B44</f>
        <v>1000</v>
      </c>
      <c r="C45" s="1039">
        <f aca="true" t="shared" si="16" ref="C45:O45">C43-C44</f>
        <v>1000</v>
      </c>
      <c r="D45" s="1039">
        <f t="shared" si="16"/>
        <v>1000</v>
      </c>
      <c r="E45" s="1039">
        <f t="shared" si="16"/>
        <v>1000</v>
      </c>
      <c r="F45" s="1039">
        <f t="shared" si="16"/>
        <v>1000</v>
      </c>
      <c r="G45" s="1039">
        <f t="shared" si="16"/>
        <v>1000</v>
      </c>
      <c r="H45" s="1039">
        <f t="shared" si="16"/>
        <v>1000</v>
      </c>
      <c r="I45" s="1039">
        <f t="shared" si="16"/>
        <v>1000</v>
      </c>
      <c r="J45" s="1039">
        <f t="shared" si="16"/>
        <v>1000</v>
      </c>
      <c r="K45" s="1039">
        <f t="shared" si="16"/>
        <v>1000</v>
      </c>
      <c r="L45" s="1039">
        <f t="shared" si="16"/>
        <v>1000</v>
      </c>
      <c r="M45" s="1039">
        <f t="shared" si="16"/>
        <v>1000</v>
      </c>
      <c r="N45" s="1039">
        <f t="shared" si="16"/>
        <v>1000</v>
      </c>
      <c r="O45" s="1040">
        <f t="shared" si="16"/>
        <v>1000</v>
      </c>
    </row>
    <row r="46" spans="1:15" ht="15">
      <c r="A46" s="632"/>
      <c r="B46" s="263"/>
      <c r="C46" s="31"/>
      <c r="D46" s="31"/>
      <c r="E46" s="31"/>
      <c r="F46" s="31"/>
      <c r="G46" s="31"/>
      <c r="H46" s="31"/>
      <c r="I46" s="31"/>
      <c r="J46" s="31"/>
      <c r="K46" s="31"/>
      <c r="L46" s="31"/>
      <c r="M46" s="31"/>
      <c r="N46" s="31"/>
      <c r="O46" s="900"/>
    </row>
    <row r="47" spans="1:15" s="1037" customFormat="1" ht="15">
      <c r="A47" s="987" t="s">
        <v>617</v>
      </c>
      <c r="B47" s="1034">
        <f>(B42*B45)/1000</f>
        <v>0</v>
      </c>
      <c r="C47" s="1035">
        <f aca="true" t="shared" si="17" ref="C47:O47">(C42*C45)/1000</f>
        <v>0</v>
      </c>
      <c r="D47" s="1035">
        <f t="shared" si="17"/>
        <v>2498.8573345695236</v>
      </c>
      <c r="E47" s="1035">
        <f t="shared" si="17"/>
        <v>2612.62969554506</v>
      </c>
      <c r="F47" s="1035">
        <f t="shared" si="17"/>
        <v>2719.616811810892</v>
      </c>
      <c r="G47" s="1035">
        <f t="shared" si="17"/>
        <v>2819.8186833670193</v>
      </c>
      <c r="H47" s="1035">
        <f t="shared" si="17"/>
        <v>2913.2353102134407</v>
      </c>
      <c r="I47" s="1035">
        <f t="shared" si="17"/>
        <v>2918.807593724184</v>
      </c>
      <c r="J47" s="1035">
        <f t="shared" si="17"/>
        <v>2867.0328134352358</v>
      </c>
      <c r="K47" s="1035">
        <f t="shared" si="17"/>
        <v>2813.6090497904033</v>
      </c>
      <c r="L47" s="1035">
        <f t="shared" si="17"/>
        <v>2758.7348118246728</v>
      </c>
      <c r="M47" s="1035">
        <f t="shared" si="17"/>
        <v>2702.316500176201</v>
      </c>
      <c r="N47" s="1035">
        <f t="shared" si="17"/>
        <v>2644.437039525896</v>
      </c>
      <c r="O47" s="1036">
        <f t="shared" si="17"/>
        <v>2585.2212656088755</v>
      </c>
    </row>
    <row r="48" spans="1:15" ht="15">
      <c r="A48" s="632"/>
      <c r="B48" s="263"/>
      <c r="C48" s="31"/>
      <c r="D48" s="31"/>
      <c r="E48" s="31"/>
      <c r="F48" s="31"/>
      <c r="G48" s="31"/>
      <c r="H48" s="31"/>
      <c r="I48" s="31"/>
      <c r="J48" s="31"/>
      <c r="K48" s="31"/>
      <c r="L48" s="31"/>
      <c r="M48" s="31"/>
      <c r="N48" s="31"/>
      <c r="O48" s="900"/>
    </row>
    <row r="49" spans="1:15" ht="15">
      <c r="A49" s="632" t="s">
        <v>411</v>
      </c>
      <c r="B49" s="263">
        <f>B47+B38+B26</f>
        <v>0</v>
      </c>
      <c r="C49" s="31">
        <f aca="true" t="shared" si="18" ref="C49:O49">C47+C38+C26</f>
        <v>0</v>
      </c>
      <c r="D49" s="31">
        <f t="shared" si="18"/>
        <v>13478.687422713792</v>
      </c>
      <c r="E49" s="31">
        <f t="shared" si="18"/>
        <v>14371.017792416249</v>
      </c>
      <c r="F49" s="31">
        <f t="shared" si="18"/>
        <v>15261.799538669007</v>
      </c>
      <c r="G49" s="31">
        <f t="shared" si="18"/>
        <v>16151.034195723363</v>
      </c>
      <c r="H49" s="31">
        <f t="shared" si="18"/>
        <v>17038.907950752728</v>
      </c>
      <c r="I49" s="31">
        <f t="shared" si="18"/>
        <v>17440.872525114602</v>
      </c>
      <c r="J49" s="31">
        <f t="shared" si="18"/>
        <v>17510.998085674797</v>
      </c>
      <c r="K49" s="31">
        <f t="shared" si="18"/>
        <v>17574.649857300014</v>
      </c>
      <c r="L49" s="31">
        <f t="shared" si="18"/>
        <v>17632.656723478227</v>
      </c>
      <c r="M49" s="31">
        <f t="shared" si="18"/>
        <v>17684.013647691776</v>
      </c>
      <c r="N49" s="31">
        <f t="shared" si="18"/>
        <v>17728.799364324055</v>
      </c>
      <c r="O49" s="900">
        <f t="shared" si="18"/>
        <v>17767.386982879194</v>
      </c>
    </row>
    <row r="50" spans="1:15" ht="15">
      <c r="A50" s="632"/>
      <c r="B50" s="263"/>
      <c r="C50" s="31"/>
      <c r="D50" s="31"/>
      <c r="E50" s="31"/>
      <c r="F50" s="31"/>
      <c r="G50" s="31"/>
      <c r="H50" s="31"/>
      <c r="I50" s="31"/>
      <c r="J50" s="31"/>
      <c r="K50" s="31"/>
      <c r="L50" s="31"/>
      <c r="M50" s="31"/>
      <c r="N50" s="31"/>
      <c r="O50" s="900"/>
    </row>
    <row r="51" spans="1:15" ht="15">
      <c r="A51" s="632" t="s">
        <v>86</v>
      </c>
      <c r="B51" s="263">
        <f>3%*B49</f>
        <v>0</v>
      </c>
      <c r="C51" s="31">
        <f>3%*C49</f>
        <v>0</v>
      </c>
      <c r="D51" s="31">
        <f>3%*D49</f>
        <v>404.36062268141376</v>
      </c>
      <c r="E51" s="31">
        <f aca="true" t="shared" si="19" ref="E51:N51">3%*E49</f>
        <v>431.13053377248747</v>
      </c>
      <c r="F51" s="31">
        <f t="shared" si="19"/>
        <v>457.8539861600702</v>
      </c>
      <c r="G51" s="31">
        <f t="shared" si="19"/>
        <v>484.5310258717009</v>
      </c>
      <c r="H51" s="31">
        <f t="shared" si="19"/>
        <v>511.1672385225818</v>
      </c>
      <c r="I51" s="31">
        <f t="shared" si="19"/>
        <v>523.226175753438</v>
      </c>
      <c r="J51" s="31">
        <f t="shared" si="19"/>
        <v>525.3299425702439</v>
      </c>
      <c r="K51" s="31">
        <f t="shared" si="19"/>
        <v>527.2394957190004</v>
      </c>
      <c r="L51" s="31">
        <f t="shared" si="19"/>
        <v>528.9797017043468</v>
      </c>
      <c r="M51" s="31">
        <f t="shared" si="19"/>
        <v>530.5204094307533</v>
      </c>
      <c r="N51" s="31">
        <f t="shared" si="19"/>
        <v>531.8639809297216</v>
      </c>
      <c r="O51" s="900">
        <f>3%*O49</f>
        <v>533.0216094863758</v>
      </c>
    </row>
    <row r="52" spans="1:15" ht="15">
      <c r="A52" s="632"/>
      <c r="B52" s="454"/>
      <c r="C52" s="41"/>
      <c r="D52" s="41"/>
      <c r="E52" s="41"/>
      <c r="F52" s="41"/>
      <c r="G52" s="41"/>
      <c r="H52" s="41"/>
      <c r="I52" s="41"/>
      <c r="J52" s="41"/>
      <c r="K52" s="41"/>
      <c r="L52" s="41"/>
      <c r="M52" s="41"/>
      <c r="N52" s="41"/>
      <c r="O52" s="905"/>
    </row>
    <row r="53" spans="1:15" ht="15">
      <c r="A53" s="633" t="s">
        <v>84</v>
      </c>
      <c r="B53" s="45">
        <f>B49+B51</f>
        <v>0</v>
      </c>
      <c r="C53" s="45">
        <f aca="true" t="shared" si="20" ref="C53:H53">C49+C51</f>
        <v>0</v>
      </c>
      <c r="D53" s="45">
        <f>D49+D51</f>
        <v>13883.048045395206</v>
      </c>
      <c r="E53" s="45">
        <f t="shared" si="20"/>
        <v>14802.148326188737</v>
      </c>
      <c r="F53" s="45">
        <f t="shared" si="20"/>
        <v>15719.653524829077</v>
      </c>
      <c r="G53" s="45">
        <f>G49+G51</f>
        <v>16635.565221595065</v>
      </c>
      <c r="H53" s="45">
        <f t="shared" si="20"/>
        <v>17550.07518927531</v>
      </c>
      <c r="I53" s="45">
        <f>I49+I51</f>
        <v>17964.098700868042</v>
      </c>
      <c r="J53" s="45">
        <f aca="true" t="shared" si="21" ref="J53:N53">J49+J51</f>
        <v>18036.32802824504</v>
      </c>
      <c r="K53" s="45">
        <f t="shared" si="21"/>
        <v>18101.889353019014</v>
      </c>
      <c r="L53" s="45">
        <f t="shared" si="21"/>
        <v>18161.636425182573</v>
      </c>
      <c r="M53" s="45">
        <f t="shared" si="21"/>
        <v>18214.534057122528</v>
      </c>
      <c r="N53" s="45">
        <f t="shared" si="21"/>
        <v>18260.663345253775</v>
      </c>
      <c r="O53" s="874">
        <f>O49+O51</f>
        <v>18300.40859236557</v>
      </c>
    </row>
    <row r="54" spans="1:15" ht="15">
      <c r="A54" s="633" t="s">
        <v>69</v>
      </c>
      <c r="B54" s="271">
        <f>B53/(ECO!L$66*1000)</f>
        <v>0</v>
      </c>
      <c r="C54" s="271">
        <f>C53/(ECO!M$66*1000)</f>
        <v>0</v>
      </c>
      <c r="D54" s="271">
        <f>D53/(ECO!N$66*1000)</f>
        <v>0.0008376951525112307</v>
      </c>
      <c r="E54" s="271">
        <f>E53/(ECO!O$66*1000)</f>
        <v>0.0008117861884639515</v>
      </c>
      <c r="F54" s="271">
        <f>F53/(ECO!P$66*1000)</f>
        <v>0.0007842996476276098</v>
      </c>
      <c r="G54" s="271">
        <f>G53/(ECO!Q$66*1000)</f>
        <v>0.0007559603859131882</v>
      </c>
      <c r="H54" s="271">
        <f>H53/(ECO!R$66*1000)</f>
        <v>0.0007523754097992449</v>
      </c>
      <c r="I54" s="271">
        <f>I53/(ECO!S$66*1000)</f>
        <v>0.0007265327214224981</v>
      </c>
      <c r="J54" s="271">
        <f>J53/(ECO!T$66*1000)</f>
        <v>0.0006881640896621946</v>
      </c>
      <c r="K54" s="271">
        <f>K53/(ECO!U$66*1000)</f>
        <v>0.0006515712626100859</v>
      </c>
      <c r="L54" s="271">
        <f>L53/(ECO!V$66*1000)</f>
        <v>0.0006167187149637015</v>
      </c>
      <c r="M54" s="271">
        <f>M53/(ECO!W$66*1000)</f>
        <v>0.0005835046901699718</v>
      </c>
      <c r="N54" s="271">
        <f>N53/(ECO!X$66*1000)</f>
        <v>0.0005518702332193139</v>
      </c>
      <c r="O54" s="968">
        <f>O53/(ECO!Y$66*1000)</f>
        <v>0.0005217654777214397</v>
      </c>
    </row>
    <row r="55" spans="1:15" ht="15">
      <c r="A55" s="634" t="s">
        <v>71</v>
      </c>
      <c r="B55" s="964">
        <f>B53/('GGO (SQ)'!L$24*1000)</f>
        <v>0</v>
      </c>
      <c r="C55" s="964">
        <f>C53/('GGO (SQ)'!M$24*1000)</f>
        <v>0</v>
      </c>
      <c r="D55" s="964">
        <f>D53/('GGO (SQ)'!N$24*1000)</f>
        <v>0.00534080494627216</v>
      </c>
      <c r="E55" s="964">
        <f>E53/('GGO (SQ)'!O$24*1000)</f>
        <v>0.005175619887099165</v>
      </c>
      <c r="F55" s="964">
        <f>F53/('GGO (SQ)'!P$24*1000)</f>
        <v>0.005000376837387621</v>
      </c>
      <c r="G55" s="964">
        <f>G53/('GGO (SQ)'!Q$24*1000)</f>
        <v>0.0048196971847904255</v>
      </c>
      <c r="H55" s="964">
        <f>H53/('GGO (SQ)'!R$24*1000)</f>
        <v>0.004796840829343914</v>
      </c>
      <c r="I55" s="964">
        <f>I53/('GGO (SQ)'!S$24*1000)</f>
        <v>0.0046320783169982935</v>
      </c>
      <c r="J55" s="964">
        <f>J53/('GGO (SQ)'!T$24*1000)</f>
        <v>0.004387455463836471</v>
      </c>
      <c r="K55" s="964">
        <f>K53/('GGO (SQ)'!U$24*1000)</f>
        <v>0.004154154422124448</v>
      </c>
      <c r="L55" s="964">
        <f>L53/('GGO (SQ)'!V$24*1000)</f>
        <v>0.003931948696924789</v>
      </c>
      <c r="M55" s="964">
        <f>M53/('GGO (SQ)'!W$24*1000)</f>
        <v>0.0037201895296762</v>
      </c>
      <c r="N55" s="964">
        <f>N53/('GGO (SQ)'!X$24*1000)</f>
        <v>0.0035185010471199605</v>
      </c>
      <c r="O55" s="971">
        <f>O53/('GGO (SQ)'!Y$24*1000)</f>
        <v>0.003326565321352222</v>
      </c>
    </row>
    <row r="56" spans="1:15" ht="15">
      <c r="A56" s="41"/>
      <c r="B56" s="454"/>
      <c r="C56" s="41"/>
      <c r="D56" s="41"/>
      <c r="E56" s="41"/>
      <c r="F56" s="41"/>
      <c r="G56" s="41"/>
      <c r="H56" s="41"/>
      <c r="I56" s="41"/>
      <c r="J56" s="41"/>
      <c r="K56" s="41"/>
      <c r="L56" s="41"/>
      <c r="M56" s="41"/>
      <c r="N56" s="41"/>
      <c r="O56" s="41"/>
    </row>
    <row r="57" spans="1:15" ht="14.25" customHeight="1">
      <c r="A57" s="1117" t="s">
        <v>585</v>
      </c>
      <c r="B57" s="1118"/>
      <c r="C57" s="1118"/>
      <c r="D57" s="1118"/>
      <c r="E57" s="1118"/>
      <c r="F57" s="1118"/>
      <c r="G57" s="1118"/>
      <c r="H57" s="1118"/>
      <c r="I57" s="1118"/>
      <c r="J57" s="1118"/>
      <c r="K57" s="1118"/>
      <c r="L57" s="1118"/>
      <c r="M57" s="1118"/>
      <c r="N57" s="1118"/>
      <c r="O57" s="1119"/>
    </row>
    <row r="58" spans="1:15" ht="14.25" customHeight="1">
      <c r="A58" s="918" t="s">
        <v>608</v>
      </c>
      <c r="B58" s="639">
        <v>600</v>
      </c>
      <c r="C58" s="1124" t="s">
        <v>609</v>
      </c>
      <c r="D58" s="1124"/>
      <c r="E58" s="1124"/>
      <c r="F58" s="1124"/>
      <c r="G58" s="1124"/>
      <c r="H58" s="639">
        <v>360</v>
      </c>
      <c r="I58" s="1123" t="s">
        <v>610</v>
      </c>
      <c r="J58" s="1123"/>
      <c r="K58" s="1123"/>
      <c r="L58" s="1123"/>
      <c r="M58" s="639">
        <v>600</v>
      </c>
      <c r="N58" s="983"/>
      <c r="O58" s="984"/>
    </row>
    <row r="59" spans="1:16" ht="15" customHeight="1">
      <c r="A59" s="40"/>
      <c r="B59" s="454"/>
      <c r="C59" s="41"/>
      <c r="D59" s="41"/>
      <c r="E59" s="41"/>
      <c r="F59" s="41"/>
      <c r="G59" s="41"/>
      <c r="H59" s="41"/>
      <c r="I59" s="41"/>
      <c r="J59" s="41"/>
      <c r="K59" s="41"/>
      <c r="L59" s="41"/>
      <c r="M59" s="41"/>
      <c r="N59" s="41"/>
      <c r="O59" s="905"/>
      <c r="P59" s="1126"/>
    </row>
    <row r="60" spans="1:16" ht="15">
      <c r="A60" s="903" t="s">
        <v>318</v>
      </c>
      <c r="B60" s="606">
        <f>POP!L105</f>
        <v>4353.597</v>
      </c>
      <c r="C60" s="607">
        <f>POP!M105</f>
        <v>4691.1</v>
      </c>
      <c r="D60" s="607">
        <f>POP!N105</f>
        <v>5028.6</v>
      </c>
      <c r="E60" s="607">
        <f>POP!O105</f>
        <v>5366.1</v>
      </c>
      <c r="F60" s="607">
        <f>POP!P105</f>
        <v>5703.6</v>
      </c>
      <c r="G60" s="607">
        <f>POP!Q105</f>
        <v>6041.1</v>
      </c>
      <c r="H60" s="607">
        <f>POP!R105</f>
        <v>6378.6</v>
      </c>
      <c r="I60" s="607">
        <f>POP!S105</f>
        <v>6534.624931901088</v>
      </c>
      <c r="J60" s="607">
        <f>POP!T105</f>
        <v>6566.489725053358</v>
      </c>
      <c r="K60" s="607">
        <f>POP!U105</f>
        <v>6595.990603300354</v>
      </c>
      <c r="L60" s="607">
        <f>POP!V105</f>
        <v>6623.433011635569</v>
      </c>
      <c r="M60" s="607">
        <f>POP!W105</f>
        <v>6648.433944971596</v>
      </c>
      <c r="N60" s="607">
        <f>POP!X105</f>
        <v>6671.016858982</v>
      </c>
      <c r="O60" s="908">
        <f>POP!Y105</f>
        <v>6691.31612861443</v>
      </c>
      <c r="P60" s="1126"/>
    </row>
    <row r="61" spans="1:16" ht="15">
      <c r="A61" s="904" t="s">
        <v>575</v>
      </c>
      <c r="B61" s="606">
        <f>POP!L107</f>
        <v>10235.658</v>
      </c>
      <c r="C61" s="607">
        <f>POP!M107</f>
        <v>11783.094177983956</v>
      </c>
      <c r="D61" s="607">
        <f>POP!N107</f>
        <v>12630.82590083565</v>
      </c>
      <c r="E61" s="607">
        <f>POP!O107</f>
        <v>13478.557623687346</v>
      </c>
      <c r="F61" s="607">
        <f>POP!P107</f>
        <v>14326.28934653904</v>
      </c>
      <c r="G61" s="607">
        <f>POP!Q107</f>
        <v>15174.021069390736</v>
      </c>
      <c r="H61" s="607">
        <f>POP!R107</f>
        <v>16021.75279224243</v>
      </c>
      <c r="I61" s="607">
        <f>POP!S107</f>
        <v>16413.655856918955</v>
      </c>
      <c r="J61" s="607">
        <f>POP!T107</f>
        <v>16493.693770984988</v>
      </c>
      <c r="K61" s="607">
        <f>POP!U107</f>
        <v>16567.794009035257</v>
      </c>
      <c r="L61" s="607">
        <f>POP!V107</f>
        <v>16636.723787101066</v>
      </c>
      <c r="M61" s="607">
        <f>POP!W107</f>
        <v>16699.521073885808</v>
      </c>
      <c r="N61" s="607">
        <f>POP!X107</f>
        <v>16756.24478529633</v>
      </c>
      <c r="O61" s="908">
        <f>POP!Y107</f>
        <v>16807.23244401672</v>
      </c>
      <c r="P61" s="1126"/>
    </row>
    <row r="62" spans="1:16" ht="12.75" customHeight="1">
      <c r="A62" s="985"/>
      <c r="B62" s="279"/>
      <c r="C62" s="279"/>
      <c r="D62" s="279"/>
      <c r="E62" s="279"/>
      <c r="F62" s="279"/>
      <c r="G62" s="279"/>
      <c r="H62" s="279"/>
      <c r="I62" s="279"/>
      <c r="J62" s="279"/>
      <c r="K62" s="279"/>
      <c r="L62" s="279"/>
      <c r="M62" s="279"/>
      <c r="N62" s="279"/>
      <c r="O62" s="907"/>
      <c r="P62" s="1126"/>
    </row>
    <row r="63" spans="1:16" ht="15">
      <c r="A63" s="632" t="s">
        <v>74</v>
      </c>
      <c r="B63" s="269">
        <v>0</v>
      </c>
      <c r="C63" s="269">
        <v>0</v>
      </c>
      <c r="D63" s="269">
        <v>1</v>
      </c>
      <c r="E63" s="269">
        <v>1</v>
      </c>
      <c r="F63" s="269">
        <v>1</v>
      </c>
      <c r="G63" s="269">
        <v>1</v>
      </c>
      <c r="H63" s="269">
        <v>1</v>
      </c>
      <c r="I63" s="269">
        <v>1</v>
      </c>
      <c r="J63" s="269">
        <v>1</v>
      </c>
      <c r="K63" s="269">
        <v>1</v>
      </c>
      <c r="L63" s="269">
        <v>1</v>
      </c>
      <c r="M63" s="269">
        <v>1</v>
      </c>
      <c r="N63" s="269">
        <v>1</v>
      </c>
      <c r="O63" s="906">
        <v>1</v>
      </c>
      <c r="P63" s="1126"/>
    </row>
    <row r="64" spans="1:16" ht="15">
      <c r="A64" s="632"/>
      <c r="B64" s="269"/>
      <c r="C64" s="269"/>
      <c r="D64" s="269"/>
      <c r="E64" s="269"/>
      <c r="F64" s="269"/>
      <c r="G64" s="269"/>
      <c r="H64" s="269"/>
      <c r="I64" s="269"/>
      <c r="J64" s="269"/>
      <c r="K64" s="269"/>
      <c r="L64" s="269"/>
      <c r="M64" s="269"/>
      <c r="N64" s="269"/>
      <c r="O64" s="906"/>
      <c r="P64" s="1126"/>
    </row>
    <row r="65" spans="1:16" ht="15">
      <c r="A65" s="986" t="s">
        <v>618</v>
      </c>
      <c r="B65" s="454"/>
      <c r="C65" s="41"/>
      <c r="D65" s="41"/>
      <c r="E65" s="41"/>
      <c r="F65" s="41"/>
      <c r="G65" s="41"/>
      <c r="H65" s="41"/>
      <c r="I65" s="41"/>
      <c r="J65" s="41"/>
      <c r="K65" s="41"/>
      <c r="L65" s="41"/>
      <c r="M65" s="41"/>
      <c r="N65" s="41"/>
      <c r="O65" s="905"/>
      <c r="P65" s="1126"/>
    </row>
    <row r="66" spans="1:16" ht="15">
      <c r="A66" s="655" t="s">
        <v>322</v>
      </c>
      <c r="B66" s="454"/>
      <c r="C66" s="41"/>
      <c r="D66" s="41"/>
      <c r="E66" s="41"/>
      <c r="F66" s="41"/>
      <c r="G66" s="41"/>
      <c r="H66" s="41"/>
      <c r="I66" s="41"/>
      <c r="J66" s="41"/>
      <c r="K66" s="41"/>
      <c r="L66" s="41"/>
      <c r="M66" s="41"/>
      <c r="N66" s="41"/>
      <c r="O66" s="905"/>
      <c r="P66" s="1126"/>
    </row>
    <row r="67" spans="1:16" ht="15">
      <c r="A67" s="632" t="s">
        <v>70</v>
      </c>
      <c r="B67" s="263">
        <f>B60*B63</f>
        <v>0</v>
      </c>
      <c r="C67" s="31">
        <f>C60*C63</f>
        <v>0</v>
      </c>
      <c r="D67" s="31">
        <f aca="true" t="shared" si="22" ref="D67:N67">D60*D63</f>
        <v>5028.6</v>
      </c>
      <c r="E67" s="31">
        <f>E60*E63</f>
        <v>5366.1</v>
      </c>
      <c r="F67" s="31">
        <f t="shared" si="22"/>
        <v>5703.6</v>
      </c>
      <c r="G67" s="31">
        <f>G60*G63</f>
        <v>6041.1</v>
      </c>
      <c r="H67" s="31">
        <f t="shared" si="22"/>
        <v>6378.6</v>
      </c>
      <c r="I67" s="31">
        <f t="shared" si="22"/>
        <v>6534.624931901088</v>
      </c>
      <c r="J67" s="31">
        <f t="shared" si="22"/>
        <v>6566.489725053358</v>
      </c>
      <c r="K67" s="31">
        <f t="shared" si="22"/>
        <v>6595.990603300354</v>
      </c>
      <c r="L67" s="31">
        <f t="shared" si="22"/>
        <v>6623.433011635569</v>
      </c>
      <c r="M67" s="31">
        <f t="shared" si="22"/>
        <v>6648.433944971596</v>
      </c>
      <c r="N67" s="31">
        <f t="shared" si="22"/>
        <v>6671.016858982</v>
      </c>
      <c r="O67" s="900">
        <f>O60*O63</f>
        <v>6691.31612861443</v>
      </c>
      <c r="P67" s="1126"/>
    </row>
    <row r="68" spans="1:15" ht="15">
      <c r="A68" s="632" t="s">
        <v>611</v>
      </c>
      <c r="B68" s="263">
        <f>($B$58*12)</f>
        <v>7200</v>
      </c>
      <c r="C68" s="31">
        <f>B68</f>
        <v>7200</v>
      </c>
      <c r="D68" s="31">
        <f>C68</f>
        <v>7200</v>
      </c>
      <c r="E68" s="31">
        <f aca="true" t="shared" si="23" ref="E68:H68">D68</f>
        <v>7200</v>
      </c>
      <c r="F68" s="31">
        <f t="shared" si="23"/>
        <v>7200</v>
      </c>
      <c r="G68" s="31">
        <f t="shared" si="23"/>
        <v>7200</v>
      </c>
      <c r="H68" s="31">
        <f t="shared" si="23"/>
        <v>7200</v>
      </c>
      <c r="I68" s="31">
        <f>(H68*(1+ECO!O10)*(1+ECO!P10)*(1+ECO!Q10)*(1+ECO!R10)*(1+ECO!S10))</f>
        <v>8468.848436908032</v>
      </c>
      <c r="J68" s="31">
        <f>I68</f>
        <v>8468.848436908032</v>
      </c>
      <c r="K68" s="31">
        <f>J68</f>
        <v>8468.848436908032</v>
      </c>
      <c r="L68" s="31">
        <f>K68</f>
        <v>8468.848436908032</v>
      </c>
      <c r="M68" s="31">
        <f>L68</f>
        <v>8468.848436908032</v>
      </c>
      <c r="N68" s="31">
        <f>(M68*(1+ECO!T10)*(1+ECO!U10)*(1+ECO!V10)*(1+ECO!W10)*(1+ECO!X10))</f>
        <v>9913.404952386554</v>
      </c>
      <c r="O68" s="900">
        <f>N68</f>
        <v>9913.404952386554</v>
      </c>
    </row>
    <row r="69" spans="1:15" ht="15">
      <c r="A69" s="632" t="s">
        <v>613</v>
      </c>
      <c r="B69" s="263">
        <f>500*12</f>
        <v>6000</v>
      </c>
      <c r="C69" s="31">
        <f aca="true" t="shared" si="24" ref="C69:O69">500*12</f>
        <v>6000</v>
      </c>
      <c r="D69" s="31">
        <f t="shared" si="24"/>
        <v>6000</v>
      </c>
      <c r="E69" s="31">
        <f t="shared" si="24"/>
        <v>6000</v>
      </c>
      <c r="F69" s="31">
        <f t="shared" si="24"/>
        <v>6000</v>
      </c>
      <c r="G69" s="31">
        <f t="shared" si="24"/>
        <v>6000</v>
      </c>
      <c r="H69" s="31">
        <f t="shared" si="24"/>
        <v>6000</v>
      </c>
      <c r="I69" s="31">
        <f t="shared" si="24"/>
        <v>6000</v>
      </c>
      <c r="J69" s="31">
        <f t="shared" si="24"/>
        <v>6000</v>
      </c>
      <c r="K69" s="31">
        <f t="shared" si="24"/>
        <v>6000</v>
      </c>
      <c r="L69" s="31">
        <f t="shared" si="24"/>
        <v>6000</v>
      </c>
      <c r="M69" s="31">
        <f t="shared" si="24"/>
        <v>6000</v>
      </c>
      <c r="N69" s="31">
        <f t="shared" si="24"/>
        <v>6000</v>
      </c>
      <c r="O69" s="900">
        <f t="shared" si="24"/>
        <v>6000</v>
      </c>
    </row>
    <row r="70" spans="1:15" s="869" customFormat="1" ht="15">
      <c r="A70" s="1038" t="s">
        <v>538</v>
      </c>
      <c r="B70" s="646">
        <f>B68-B69</f>
        <v>1200</v>
      </c>
      <c r="C70" s="1039">
        <f aca="true" t="shared" si="25" ref="C70:O70">C68-C69</f>
        <v>1200</v>
      </c>
      <c r="D70" s="1039">
        <f t="shared" si="25"/>
        <v>1200</v>
      </c>
      <c r="E70" s="1039">
        <f t="shared" si="25"/>
        <v>1200</v>
      </c>
      <c r="F70" s="1039">
        <f t="shared" si="25"/>
        <v>1200</v>
      </c>
      <c r="G70" s="1039">
        <f t="shared" si="25"/>
        <v>1200</v>
      </c>
      <c r="H70" s="1039">
        <f t="shared" si="25"/>
        <v>1200</v>
      </c>
      <c r="I70" s="1039">
        <f t="shared" si="25"/>
        <v>2468.8484369080325</v>
      </c>
      <c r="J70" s="1039">
        <f t="shared" si="25"/>
        <v>2468.8484369080325</v>
      </c>
      <c r="K70" s="1039">
        <f t="shared" si="25"/>
        <v>2468.8484369080325</v>
      </c>
      <c r="L70" s="1039">
        <f t="shared" si="25"/>
        <v>2468.8484369080325</v>
      </c>
      <c r="M70" s="1039">
        <f t="shared" si="25"/>
        <v>2468.8484369080325</v>
      </c>
      <c r="N70" s="1039">
        <f t="shared" si="25"/>
        <v>3913.404952386554</v>
      </c>
      <c r="O70" s="1040">
        <f t="shared" si="25"/>
        <v>3913.404952386554</v>
      </c>
    </row>
    <row r="71" spans="1:15" ht="15">
      <c r="A71" s="632"/>
      <c r="B71" s="263"/>
      <c r="C71" s="31"/>
      <c r="D71" s="31"/>
      <c r="E71" s="31"/>
      <c r="F71" s="31"/>
      <c r="G71" s="31"/>
      <c r="H71" s="31"/>
      <c r="I71" s="31"/>
      <c r="J71" s="31"/>
      <c r="K71" s="31"/>
      <c r="L71" s="31"/>
      <c r="M71" s="31"/>
      <c r="N71" s="31"/>
      <c r="O71" s="900"/>
    </row>
    <row r="72" spans="1:15" s="1037" customFormat="1" ht="15">
      <c r="A72" s="987" t="s">
        <v>612</v>
      </c>
      <c r="B72" s="1034">
        <f>(B68*B67)/1000</f>
        <v>0</v>
      </c>
      <c r="C72" s="1035">
        <f>(C68*C67)/1000</f>
        <v>0</v>
      </c>
      <c r="D72" s="1035">
        <f>(D70*D67)/1000</f>
        <v>6034.32</v>
      </c>
      <c r="E72" s="1035">
        <f aca="true" t="shared" si="26" ref="E72:O72">(E70*E67)/1000</f>
        <v>6439.32</v>
      </c>
      <c r="F72" s="1035">
        <f t="shared" si="26"/>
        <v>6844.32</v>
      </c>
      <c r="G72" s="1035">
        <f t="shared" si="26"/>
        <v>7249.32</v>
      </c>
      <c r="H72" s="1035">
        <f t="shared" si="26"/>
        <v>7654.32</v>
      </c>
      <c r="I72" s="1035">
        <f t="shared" si="26"/>
        <v>16132.99854890426</v>
      </c>
      <c r="J72" s="1035">
        <f t="shared" si="26"/>
        <v>16211.667893670638</v>
      </c>
      <c r="K72" s="1035">
        <f t="shared" si="26"/>
        <v>16284.50109081815</v>
      </c>
      <c r="L72" s="1035">
        <f t="shared" si="26"/>
        <v>16352.252237741535</v>
      </c>
      <c r="M72" s="1035">
        <f t="shared" si="26"/>
        <v>16413.97575292943</v>
      </c>
      <c r="N72" s="1035">
        <f t="shared" si="26"/>
        <v>26106.390413394354</v>
      </c>
      <c r="O72" s="1036">
        <f t="shared" si="26"/>
        <v>26185.82967570374</v>
      </c>
    </row>
    <row r="73" spans="1:15" ht="15">
      <c r="A73" s="632"/>
      <c r="B73" s="263"/>
      <c r="C73" s="31"/>
      <c r="D73" s="31"/>
      <c r="E73" s="31"/>
      <c r="F73" s="31"/>
      <c r="G73" s="31"/>
      <c r="H73" s="31"/>
      <c r="I73" s="31"/>
      <c r="J73" s="31"/>
      <c r="K73" s="31"/>
      <c r="L73" s="31"/>
      <c r="M73" s="31"/>
      <c r="N73" s="31"/>
      <c r="O73" s="900"/>
    </row>
    <row r="74" spans="1:15" ht="15">
      <c r="A74" s="986" t="s">
        <v>586</v>
      </c>
      <c r="B74" s="263"/>
      <c r="C74" s="31"/>
      <c r="D74" s="31"/>
      <c r="E74" s="31"/>
      <c r="F74" s="31"/>
      <c r="G74" s="31"/>
      <c r="H74" s="31"/>
      <c r="I74" s="31"/>
      <c r="J74" s="31"/>
      <c r="K74" s="31"/>
      <c r="L74" s="31"/>
      <c r="M74" s="31"/>
      <c r="N74" s="31"/>
      <c r="O74" s="900"/>
    </row>
    <row r="75" spans="1:16" ht="15">
      <c r="A75" s="904" t="s">
        <v>576</v>
      </c>
      <c r="B75" s="606">
        <f>B61*87%</f>
        <v>8905.02246</v>
      </c>
      <c r="C75" s="607">
        <f aca="true" t="shared" si="27" ref="C75:O75">C61*87%</f>
        <v>10251.291934846042</v>
      </c>
      <c r="D75" s="607">
        <f t="shared" si="27"/>
        <v>10988.818533727017</v>
      </c>
      <c r="E75" s="607">
        <f t="shared" si="27"/>
        <v>11726.34513260799</v>
      </c>
      <c r="F75" s="607">
        <f t="shared" si="27"/>
        <v>12463.871731488965</v>
      </c>
      <c r="G75" s="607">
        <f t="shared" si="27"/>
        <v>13201.39833036994</v>
      </c>
      <c r="H75" s="607">
        <f t="shared" si="27"/>
        <v>13938.924929250914</v>
      </c>
      <c r="I75" s="607">
        <f t="shared" si="27"/>
        <v>14279.880595519491</v>
      </c>
      <c r="J75" s="607">
        <f t="shared" si="27"/>
        <v>14349.51358075694</v>
      </c>
      <c r="K75" s="607">
        <f t="shared" si="27"/>
        <v>14413.980787860673</v>
      </c>
      <c r="L75" s="607">
        <f t="shared" si="27"/>
        <v>14473.949694777926</v>
      </c>
      <c r="M75" s="607">
        <f t="shared" si="27"/>
        <v>14528.583334280653</v>
      </c>
      <c r="N75" s="607">
        <f t="shared" si="27"/>
        <v>14577.932963207808</v>
      </c>
      <c r="O75" s="908">
        <f t="shared" si="27"/>
        <v>14622.292226294547</v>
      </c>
      <c r="P75" s="909" t="s">
        <v>588</v>
      </c>
    </row>
    <row r="76" spans="1:15" ht="15">
      <c r="A76" s="986"/>
      <c r="B76" s="263"/>
      <c r="C76" s="31"/>
      <c r="D76" s="31"/>
      <c r="E76" s="31"/>
      <c r="F76" s="31"/>
      <c r="G76" s="31"/>
      <c r="H76" s="31"/>
      <c r="I76" s="31"/>
      <c r="J76" s="31"/>
      <c r="K76" s="31"/>
      <c r="L76" s="31"/>
      <c r="M76" s="31"/>
      <c r="N76" s="31"/>
      <c r="O76" s="900"/>
    </row>
    <row r="77" spans="1:15" ht="15">
      <c r="A77" s="655" t="s">
        <v>323</v>
      </c>
      <c r="B77" s="263"/>
      <c r="C77" s="31"/>
      <c r="D77" s="31"/>
      <c r="E77" s="31"/>
      <c r="F77" s="31"/>
      <c r="G77" s="31"/>
      <c r="H77" s="31"/>
      <c r="I77" s="31"/>
      <c r="J77" s="31"/>
      <c r="K77" s="31"/>
      <c r="L77" s="31"/>
      <c r="M77" s="31"/>
      <c r="N77" s="31"/>
      <c r="O77" s="900"/>
    </row>
    <row r="78" spans="1:16" ht="15">
      <c r="A78" s="632" t="s">
        <v>566</v>
      </c>
      <c r="B78" s="263">
        <f>((B75*Calculations!L129)*(Calculations!L172+Calculations!L173))+(B75*Calculations!L130)+(B75*Calculations!L131)</f>
        <v>6574.106542136137</v>
      </c>
      <c r="C78" s="31">
        <f>((C75*Calculations!M129)*(Calculations!M172+Calculations!M173))+(C75*Calculations!M130)+(C75*Calculations!M131)</f>
        <v>7628.647850925711</v>
      </c>
      <c r="D78" s="31">
        <f>((D75*Calculations!N129)*(Calculations!N172+Calculations!N173))+(D75*Calculations!N130)+(D75*Calculations!N131)</f>
        <v>8242.516813573782</v>
      </c>
      <c r="E78" s="31">
        <f>((E75*Calculations!O129)*(Calculations!O172+Calculations!O173))+(E75*Calculations!O130)+(E75*Calculations!O131)</f>
        <v>8865.113494785317</v>
      </c>
      <c r="F78" s="31">
        <f>((F75*Calculations!P129)*(Calculations!P172+Calculations!P173))+(F75*Calculations!P130)+(F75*Calculations!P131)</f>
        <v>9496.437878096858</v>
      </c>
      <c r="G78" s="31">
        <f>((G75*Calculations!Q129)*(Calculations!Q172+Calculations!Q173))+(G75*Calculations!Q130)+(G75*Calculations!Q131)</f>
        <v>10136.492520593907</v>
      </c>
      <c r="H78" s="31">
        <f>((H75*Calculations!R129)*(Calculations!R172+Calculations!R173))+(H75*Calculations!R130)+(H75*Calculations!R131)</f>
        <v>10785.587734232144</v>
      </c>
      <c r="I78" s="31">
        <f>((I75*Calculations!S129)*(Calculations!S172+Calculations!S173))+(I75*Calculations!S130)+(I75*Calculations!S131)</f>
        <v>11134.191688515188</v>
      </c>
      <c r="J78" s="31">
        <f>((J75*Calculations!T129)*(Calculations!T172+Calculations!T173))+(J75*Calculations!T130)+(J75*Calculations!T131)</f>
        <v>11273.629336959219</v>
      </c>
      <c r="K78" s="31">
        <f>((K75*Calculations!U129)*(Calculations!U172+Calculations!U173))+(K75*Calculations!U130)+(K75*Calculations!U131)</f>
        <v>11409.753472581975</v>
      </c>
      <c r="L78" s="31">
        <f>((L75*Calculations!V129)*(Calculations!V172+Calculations!V173))+(L75*Calculations!V130)+(L75*Calculations!V131)</f>
        <v>11543.003829484787</v>
      </c>
      <c r="M78" s="31">
        <f>((M75*Calculations!W129)*(Calculations!W172+Calculations!W173))+(M75*Calculations!W130)+(M75*Calculations!W131)</f>
        <v>11672.6273559161</v>
      </c>
      <c r="N78" s="31">
        <f>((N75*Calculations!X129)*(Calculations!X172+Calculations!X173))+(N75*Calculations!X130)+(N75*Calculations!X131)</f>
        <v>11798.5701566996</v>
      </c>
      <c r="O78" s="900">
        <f>((O75*Calculations!Y129)*(Calculations!Y172+Calculations!Y173))+(O75*Calculations!Y130)+(O75*Calculations!Y131)</f>
        <v>11920.977271555006</v>
      </c>
      <c r="P78" s="608"/>
    </row>
    <row r="79" spans="1:16" ht="15">
      <c r="A79" s="632" t="s">
        <v>70</v>
      </c>
      <c r="B79" s="263">
        <f>B78*B63</f>
        <v>0</v>
      </c>
      <c r="C79" s="31">
        <f aca="true" t="shared" si="28" ref="C79:O79">C78*C63</f>
        <v>0</v>
      </c>
      <c r="D79" s="31">
        <f t="shared" si="28"/>
        <v>8242.516813573782</v>
      </c>
      <c r="E79" s="31">
        <f t="shared" si="28"/>
        <v>8865.113494785317</v>
      </c>
      <c r="F79" s="31">
        <f t="shared" si="28"/>
        <v>9496.437878096858</v>
      </c>
      <c r="G79" s="31">
        <f t="shared" si="28"/>
        <v>10136.492520593907</v>
      </c>
      <c r="H79" s="31">
        <f t="shared" si="28"/>
        <v>10785.587734232144</v>
      </c>
      <c r="I79" s="31">
        <f t="shared" si="28"/>
        <v>11134.191688515188</v>
      </c>
      <c r="J79" s="31">
        <f t="shared" si="28"/>
        <v>11273.629336959219</v>
      </c>
      <c r="K79" s="31">
        <f t="shared" si="28"/>
        <v>11409.753472581975</v>
      </c>
      <c r="L79" s="31">
        <f t="shared" si="28"/>
        <v>11543.003829484787</v>
      </c>
      <c r="M79" s="31">
        <f t="shared" si="28"/>
        <v>11672.6273559161</v>
      </c>
      <c r="N79" s="31">
        <f t="shared" si="28"/>
        <v>11798.5701566996</v>
      </c>
      <c r="O79" s="900">
        <f t="shared" si="28"/>
        <v>11920.977271555006</v>
      </c>
      <c r="P79" s="608"/>
    </row>
    <row r="80" spans="1:15" ht="15">
      <c r="A80" s="632" t="s">
        <v>614</v>
      </c>
      <c r="B80" s="263">
        <f>$H$58*10</f>
        <v>3600</v>
      </c>
      <c r="C80" s="31">
        <f aca="true" t="shared" si="29" ref="C80:H80">B80</f>
        <v>3600</v>
      </c>
      <c r="D80" s="31">
        <f t="shared" si="29"/>
        <v>3600</v>
      </c>
      <c r="E80" s="31">
        <f t="shared" si="29"/>
        <v>3600</v>
      </c>
      <c r="F80" s="31">
        <f t="shared" si="29"/>
        <v>3600</v>
      </c>
      <c r="G80" s="31">
        <f t="shared" si="29"/>
        <v>3600</v>
      </c>
      <c r="H80" s="31">
        <f t="shared" si="29"/>
        <v>3600</v>
      </c>
      <c r="I80" s="31">
        <f>(H80*(1+ECO!O10)*(1+ECO!P10)*(1+ECO!Q10)*(1+ECO!R10)*(1+ECO!S10))</f>
        <v>4234.424218454016</v>
      </c>
      <c r="J80" s="31">
        <f>I80</f>
        <v>4234.424218454016</v>
      </c>
      <c r="K80" s="31">
        <f>J80</f>
        <v>4234.424218454016</v>
      </c>
      <c r="L80" s="31">
        <f>K80</f>
        <v>4234.424218454016</v>
      </c>
      <c r="M80" s="31">
        <f>L80</f>
        <v>4234.424218454016</v>
      </c>
      <c r="N80" s="31">
        <f>(M80*(1+ECO!T10)*(1+ECO!U10)*(1+ECO!V10)*(1+ECO!W10)*(1+ECO!X10))</f>
        <v>4956.702476193277</v>
      </c>
      <c r="O80" s="900">
        <f>N80</f>
        <v>4956.702476193277</v>
      </c>
    </row>
    <row r="81" spans="1:15" ht="15">
      <c r="A81" s="632" t="s">
        <v>615</v>
      </c>
      <c r="B81" s="263">
        <f>300*10</f>
        <v>3000</v>
      </c>
      <c r="C81" s="31">
        <f aca="true" t="shared" si="30" ref="C81:O81">300*10</f>
        <v>3000</v>
      </c>
      <c r="D81" s="31">
        <f t="shared" si="30"/>
        <v>3000</v>
      </c>
      <c r="E81" s="31">
        <f t="shared" si="30"/>
        <v>3000</v>
      </c>
      <c r="F81" s="31">
        <f t="shared" si="30"/>
        <v>3000</v>
      </c>
      <c r="G81" s="31">
        <f t="shared" si="30"/>
        <v>3000</v>
      </c>
      <c r="H81" s="31">
        <f t="shared" si="30"/>
        <v>3000</v>
      </c>
      <c r="I81" s="31">
        <f t="shared" si="30"/>
        <v>3000</v>
      </c>
      <c r="J81" s="31">
        <f t="shared" si="30"/>
        <v>3000</v>
      </c>
      <c r="K81" s="31">
        <f t="shared" si="30"/>
        <v>3000</v>
      </c>
      <c r="L81" s="31">
        <f t="shared" si="30"/>
        <v>3000</v>
      </c>
      <c r="M81" s="31">
        <f t="shared" si="30"/>
        <v>3000</v>
      </c>
      <c r="N81" s="31">
        <f t="shared" si="30"/>
        <v>3000</v>
      </c>
      <c r="O81" s="900">
        <f t="shared" si="30"/>
        <v>3000</v>
      </c>
    </row>
    <row r="82" spans="1:15" s="869" customFormat="1" ht="15">
      <c r="A82" s="1038" t="s">
        <v>616</v>
      </c>
      <c r="B82" s="646">
        <f>B80-B81</f>
        <v>600</v>
      </c>
      <c r="C82" s="1039">
        <f aca="true" t="shared" si="31" ref="C82:O82">C80-C81</f>
        <v>600</v>
      </c>
      <c r="D82" s="1039">
        <f t="shared" si="31"/>
        <v>600</v>
      </c>
      <c r="E82" s="1039">
        <f t="shared" si="31"/>
        <v>600</v>
      </c>
      <c r="F82" s="1039">
        <f t="shared" si="31"/>
        <v>600</v>
      </c>
      <c r="G82" s="1039">
        <f t="shared" si="31"/>
        <v>600</v>
      </c>
      <c r="H82" s="1039">
        <f t="shared" si="31"/>
        <v>600</v>
      </c>
      <c r="I82" s="1039">
        <f t="shared" si="31"/>
        <v>1234.4242184540162</v>
      </c>
      <c r="J82" s="1039">
        <f t="shared" si="31"/>
        <v>1234.4242184540162</v>
      </c>
      <c r="K82" s="1039">
        <f t="shared" si="31"/>
        <v>1234.4242184540162</v>
      </c>
      <c r="L82" s="1039">
        <f t="shared" si="31"/>
        <v>1234.4242184540162</v>
      </c>
      <c r="M82" s="1039">
        <f t="shared" si="31"/>
        <v>1234.4242184540162</v>
      </c>
      <c r="N82" s="1039">
        <f t="shared" si="31"/>
        <v>1956.702476193277</v>
      </c>
      <c r="O82" s="1040">
        <f t="shared" si="31"/>
        <v>1956.702476193277</v>
      </c>
    </row>
    <row r="83" spans="1:15" ht="15">
      <c r="A83" s="632"/>
      <c r="B83" s="263"/>
      <c r="C83" s="31"/>
      <c r="D83" s="31"/>
      <c r="E83" s="31"/>
      <c r="F83" s="31"/>
      <c r="G83" s="31"/>
      <c r="H83" s="31"/>
      <c r="I83" s="31"/>
      <c r="J83" s="31"/>
      <c r="K83" s="31"/>
      <c r="L83" s="31"/>
      <c r="M83" s="31"/>
      <c r="N83" s="31"/>
      <c r="O83" s="900"/>
    </row>
    <row r="84" spans="1:15" s="1037" customFormat="1" ht="15">
      <c r="A84" s="987" t="s">
        <v>617</v>
      </c>
      <c r="B84" s="1034">
        <f>(B79*B82)/1000</f>
        <v>0</v>
      </c>
      <c r="C84" s="1035">
        <f aca="true" t="shared" si="32" ref="C84:O84">(C79*C82)/1000</f>
        <v>0</v>
      </c>
      <c r="D84" s="1035">
        <f t="shared" si="32"/>
        <v>4945.5100881442695</v>
      </c>
      <c r="E84" s="1035">
        <f>(E79*E82)/1000</f>
        <v>5319.0680968711895</v>
      </c>
      <c r="F84" s="1035">
        <f t="shared" si="32"/>
        <v>5697.862726858115</v>
      </c>
      <c r="G84" s="1035">
        <f t="shared" si="32"/>
        <v>6081.895512356345</v>
      </c>
      <c r="H84" s="1035">
        <f t="shared" si="32"/>
        <v>6471.352640539287</v>
      </c>
      <c r="I84" s="1035">
        <f t="shared" si="32"/>
        <v>13744.315873212565</v>
      </c>
      <c r="J84" s="1035">
        <f t="shared" si="32"/>
        <v>13916.441083416154</v>
      </c>
      <c r="K84" s="1035">
        <f t="shared" si="32"/>
        <v>14084.476013145002</v>
      </c>
      <c r="L84" s="1035">
        <f t="shared" si="32"/>
        <v>14248.963480823473</v>
      </c>
      <c r="M84" s="1035">
        <f t="shared" si="32"/>
        <v>14408.973901131701</v>
      </c>
      <c r="N84" s="1035">
        <f t="shared" si="32"/>
        <v>23086.291441154208</v>
      </c>
      <c r="O84" s="1036">
        <f t="shared" si="32"/>
        <v>23325.805745895457</v>
      </c>
    </row>
    <row r="85" spans="1:15" ht="15">
      <c r="A85" s="632"/>
      <c r="B85" s="263"/>
      <c r="C85" s="31"/>
      <c r="D85" s="31"/>
      <c r="E85" s="31"/>
      <c r="F85" s="31"/>
      <c r="G85" s="31"/>
      <c r="H85" s="31"/>
      <c r="I85" s="31"/>
      <c r="J85" s="31"/>
      <c r="K85" s="31"/>
      <c r="L85" s="31"/>
      <c r="M85" s="31"/>
      <c r="N85" s="31"/>
      <c r="O85" s="900"/>
    </row>
    <row r="86" spans="1:15" ht="15">
      <c r="A86" s="655" t="s">
        <v>324</v>
      </c>
      <c r="B86" s="263"/>
      <c r="C86" s="31"/>
      <c r="D86" s="31"/>
      <c r="E86" s="31"/>
      <c r="F86" s="31"/>
      <c r="G86" s="31"/>
      <c r="H86" s="31"/>
      <c r="I86" s="31"/>
      <c r="J86" s="31"/>
      <c r="K86" s="31"/>
      <c r="L86" s="31"/>
      <c r="M86" s="31"/>
      <c r="N86" s="31"/>
      <c r="O86" s="900"/>
    </row>
    <row r="87" spans="1:16" ht="15">
      <c r="A87" s="632" t="s">
        <v>565</v>
      </c>
      <c r="B87" s="263">
        <f>(B75*Calculations!L132)</f>
        <v>2106.928314036</v>
      </c>
      <c r="C87" s="31">
        <f>(C75*Calculations!M132)</f>
        <v>2378.2997288842816</v>
      </c>
      <c r="D87" s="31">
        <f>(D75*Calculations!N132)</f>
        <v>2498.8573345695236</v>
      </c>
      <c r="E87" s="31">
        <f>(E75*Calculations!O132)</f>
        <v>2612.62969554506</v>
      </c>
      <c r="F87" s="31">
        <f>(F75*Calculations!P132)</f>
        <v>2719.616811810892</v>
      </c>
      <c r="G87" s="31">
        <f>(G75*Calculations!Q132)</f>
        <v>2819.8186833670193</v>
      </c>
      <c r="H87" s="31">
        <f>(H75*Calculations!R132)</f>
        <v>2913.2353102134407</v>
      </c>
      <c r="I87" s="31">
        <f>(I75*Calculations!S132)</f>
        <v>2918.807593724184</v>
      </c>
      <c r="J87" s="31">
        <f>(J75*Calculations!T132)</f>
        <v>2867.032813435236</v>
      </c>
      <c r="K87" s="31">
        <f>(K75*Calculations!U132)</f>
        <v>2813.6090497904033</v>
      </c>
      <c r="L87" s="31">
        <f>(L75*Calculations!V132)</f>
        <v>2758.7348118246728</v>
      </c>
      <c r="M87" s="31">
        <f>(M75*Calculations!W132)</f>
        <v>2702.316500176201</v>
      </c>
      <c r="N87" s="31">
        <f>(N75*Calculations!X132)</f>
        <v>2644.437039525896</v>
      </c>
      <c r="O87" s="900">
        <f>(O75*Calculations!Y132)</f>
        <v>2585.2212656088755</v>
      </c>
      <c r="P87" s="608"/>
    </row>
    <row r="88" spans="1:16" ht="15">
      <c r="A88" s="632" t="s">
        <v>70</v>
      </c>
      <c r="B88" s="263">
        <f aca="true" t="shared" si="33" ref="B88:O88">B87*B63</f>
        <v>0</v>
      </c>
      <c r="C88" s="31">
        <f t="shared" si="33"/>
        <v>0</v>
      </c>
      <c r="D88" s="31">
        <f t="shared" si="33"/>
        <v>2498.8573345695236</v>
      </c>
      <c r="E88" s="31">
        <f t="shared" si="33"/>
        <v>2612.62969554506</v>
      </c>
      <c r="F88" s="31">
        <f t="shared" si="33"/>
        <v>2719.616811810892</v>
      </c>
      <c r="G88" s="31">
        <f t="shared" si="33"/>
        <v>2819.8186833670193</v>
      </c>
      <c r="H88" s="31">
        <f t="shared" si="33"/>
        <v>2913.2353102134407</v>
      </c>
      <c r="I88" s="31">
        <f t="shared" si="33"/>
        <v>2918.807593724184</v>
      </c>
      <c r="J88" s="31">
        <f t="shared" si="33"/>
        <v>2867.032813435236</v>
      </c>
      <c r="K88" s="31">
        <f t="shared" si="33"/>
        <v>2813.6090497904033</v>
      </c>
      <c r="L88" s="31">
        <f t="shared" si="33"/>
        <v>2758.7348118246728</v>
      </c>
      <c r="M88" s="31">
        <f t="shared" si="33"/>
        <v>2702.316500176201</v>
      </c>
      <c r="N88" s="31">
        <f t="shared" si="33"/>
        <v>2644.437039525896</v>
      </c>
      <c r="O88" s="900">
        <f t="shared" si="33"/>
        <v>2585.2212656088755</v>
      </c>
      <c r="P88" s="608"/>
    </row>
    <row r="89" spans="1:15" ht="15">
      <c r="A89" s="632" t="s">
        <v>614</v>
      </c>
      <c r="B89" s="263">
        <f>$M$58*10</f>
        <v>6000</v>
      </c>
      <c r="C89" s="31">
        <f aca="true" t="shared" si="34" ref="C89:H89">B89</f>
        <v>6000</v>
      </c>
      <c r="D89" s="31">
        <f t="shared" si="34"/>
        <v>6000</v>
      </c>
      <c r="E89" s="31">
        <f t="shared" si="34"/>
        <v>6000</v>
      </c>
      <c r="F89" s="31">
        <f t="shared" si="34"/>
        <v>6000</v>
      </c>
      <c r="G89" s="31">
        <f t="shared" si="34"/>
        <v>6000</v>
      </c>
      <c r="H89" s="31">
        <f t="shared" si="34"/>
        <v>6000</v>
      </c>
      <c r="I89" s="31">
        <f>($M$58*(1+ECO!O10)*(1+ECO!P10)*(1+ECO!Q10)*(1+ECO!R10)*(1+ECO!S10))*10</f>
        <v>7057.373697423362</v>
      </c>
      <c r="J89" s="31">
        <f>I89</f>
        <v>7057.373697423362</v>
      </c>
      <c r="K89" s="31">
        <f>J89</f>
        <v>7057.373697423362</v>
      </c>
      <c r="L89" s="31">
        <f>K89</f>
        <v>7057.373697423362</v>
      </c>
      <c r="M89" s="31">
        <f>L89</f>
        <v>7057.373697423362</v>
      </c>
      <c r="N89" s="31">
        <f>(M89*(1+ECO!T10)*(1+ECO!U10)*(1+ECO!V10)*(1+ECO!W10)*(1+ECO!X10))</f>
        <v>8261.170793655463</v>
      </c>
      <c r="O89" s="900">
        <f>N89</f>
        <v>8261.170793655463</v>
      </c>
    </row>
    <row r="90" spans="1:15" ht="15">
      <c r="A90" s="632" t="s">
        <v>615</v>
      </c>
      <c r="B90" s="263">
        <f>500*10</f>
        <v>5000</v>
      </c>
      <c r="C90" s="31">
        <f aca="true" t="shared" si="35" ref="C90:O90">500*10</f>
        <v>5000</v>
      </c>
      <c r="D90" s="31">
        <f t="shared" si="35"/>
        <v>5000</v>
      </c>
      <c r="E90" s="31">
        <f t="shared" si="35"/>
        <v>5000</v>
      </c>
      <c r="F90" s="31">
        <f t="shared" si="35"/>
        <v>5000</v>
      </c>
      <c r="G90" s="31">
        <f t="shared" si="35"/>
        <v>5000</v>
      </c>
      <c r="H90" s="31">
        <f t="shared" si="35"/>
        <v>5000</v>
      </c>
      <c r="I90" s="31">
        <f t="shared" si="35"/>
        <v>5000</v>
      </c>
      <c r="J90" s="31">
        <f t="shared" si="35"/>
        <v>5000</v>
      </c>
      <c r="K90" s="31">
        <f t="shared" si="35"/>
        <v>5000</v>
      </c>
      <c r="L90" s="31">
        <f t="shared" si="35"/>
        <v>5000</v>
      </c>
      <c r="M90" s="31">
        <f t="shared" si="35"/>
        <v>5000</v>
      </c>
      <c r="N90" s="31">
        <f t="shared" si="35"/>
        <v>5000</v>
      </c>
      <c r="O90" s="900">
        <f t="shared" si="35"/>
        <v>5000</v>
      </c>
    </row>
    <row r="91" spans="1:15" s="869" customFormat="1" ht="15">
      <c r="A91" s="1038" t="s">
        <v>616</v>
      </c>
      <c r="B91" s="646">
        <f>B89-B90</f>
        <v>1000</v>
      </c>
      <c r="C91" s="1039">
        <f aca="true" t="shared" si="36" ref="C91:O91">C89-C90</f>
        <v>1000</v>
      </c>
      <c r="D91" s="1039">
        <f t="shared" si="36"/>
        <v>1000</v>
      </c>
      <c r="E91" s="1039">
        <f t="shared" si="36"/>
        <v>1000</v>
      </c>
      <c r="F91" s="1039">
        <f t="shared" si="36"/>
        <v>1000</v>
      </c>
      <c r="G91" s="1039">
        <f t="shared" si="36"/>
        <v>1000</v>
      </c>
      <c r="H91" s="1039">
        <f t="shared" si="36"/>
        <v>1000</v>
      </c>
      <c r="I91" s="1039">
        <f t="shared" si="36"/>
        <v>2057.3736974233616</v>
      </c>
      <c r="J91" s="1039">
        <f t="shared" si="36"/>
        <v>2057.3736974233616</v>
      </c>
      <c r="K91" s="1039">
        <f t="shared" si="36"/>
        <v>2057.3736974233616</v>
      </c>
      <c r="L91" s="1039">
        <f t="shared" si="36"/>
        <v>2057.3736974233616</v>
      </c>
      <c r="M91" s="1039">
        <f t="shared" si="36"/>
        <v>2057.3736974233616</v>
      </c>
      <c r="N91" s="1039">
        <f t="shared" si="36"/>
        <v>3261.170793655463</v>
      </c>
      <c r="O91" s="1040">
        <f t="shared" si="36"/>
        <v>3261.170793655463</v>
      </c>
    </row>
    <row r="92" spans="1:15" ht="15">
      <c r="A92" s="632"/>
      <c r="B92" s="263"/>
      <c r="C92" s="31"/>
      <c r="D92" s="31"/>
      <c r="E92" s="31"/>
      <c r="F92" s="31"/>
      <c r="G92" s="31"/>
      <c r="H92" s="31"/>
      <c r="I92" s="31"/>
      <c r="J92" s="31"/>
      <c r="K92" s="31"/>
      <c r="L92" s="31"/>
      <c r="M92" s="31"/>
      <c r="N92" s="31"/>
      <c r="O92" s="900"/>
    </row>
    <row r="93" spans="1:15" s="1037" customFormat="1" ht="15">
      <c r="A93" s="987" t="s">
        <v>617</v>
      </c>
      <c r="B93" s="1034">
        <f>(B88*B91)/1000</f>
        <v>0</v>
      </c>
      <c r="C93" s="1035">
        <f aca="true" t="shared" si="37" ref="C93:O93">(C88*C91)/1000</f>
        <v>0</v>
      </c>
      <c r="D93" s="1035">
        <f t="shared" si="37"/>
        <v>2498.8573345695236</v>
      </c>
      <c r="E93" s="1035">
        <f t="shared" si="37"/>
        <v>2612.62969554506</v>
      </c>
      <c r="F93" s="1035">
        <f t="shared" si="37"/>
        <v>2719.616811810892</v>
      </c>
      <c r="G93" s="1035">
        <f t="shared" si="37"/>
        <v>2819.8186833670193</v>
      </c>
      <c r="H93" s="1035">
        <f t="shared" si="37"/>
        <v>2913.2353102134407</v>
      </c>
      <c r="I93" s="1035">
        <f t="shared" si="37"/>
        <v>6005.077971167709</v>
      </c>
      <c r="J93" s="1035">
        <f t="shared" si="37"/>
        <v>5898.557900011355</v>
      </c>
      <c r="K93" s="1035">
        <f t="shared" si="37"/>
        <v>5788.645253871113</v>
      </c>
      <c r="L93" s="1035">
        <f t="shared" si="37"/>
        <v>5675.748440014268</v>
      </c>
      <c r="M93" s="1035">
        <f t="shared" si="37"/>
        <v>5559.674889575668</v>
      </c>
      <c r="N93" s="1035">
        <f t="shared" si="37"/>
        <v>8623.96083896257</v>
      </c>
      <c r="O93" s="1036">
        <f t="shared" si="37"/>
        <v>8430.848086540676</v>
      </c>
    </row>
    <row r="94" spans="1:15" ht="15">
      <c r="A94" s="632"/>
      <c r="B94" s="263"/>
      <c r="C94" s="31"/>
      <c r="D94" s="31"/>
      <c r="E94" s="31"/>
      <c r="F94" s="31"/>
      <c r="G94" s="31"/>
      <c r="H94" s="31"/>
      <c r="I94" s="31"/>
      <c r="J94" s="31"/>
      <c r="K94" s="31"/>
      <c r="L94" s="31"/>
      <c r="M94" s="31"/>
      <c r="N94" s="31"/>
      <c r="O94" s="900"/>
    </row>
    <row r="95" spans="1:15" ht="15">
      <c r="A95" s="632" t="s">
        <v>321</v>
      </c>
      <c r="B95" s="263">
        <f>(B93+B84+B72)</f>
        <v>0</v>
      </c>
      <c r="C95" s="31">
        <f aca="true" t="shared" si="38" ref="C95:N95">(C93+C84+C72)</f>
        <v>0</v>
      </c>
      <c r="D95" s="31">
        <f t="shared" si="38"/>
        <v>13478.687422713792</v>
      </c>
      <c r="E95" s="31">
        <f t="shared" si="38"/>
        <v>14371.017792416249</v>
      </c>
      <c r="F95" s="31">
        <f t="shared" si="38"/>
        <v>15261.799538669007</v>
      </c>
      <c r="G95" s="31">
        <f t="shared" si="38"/>
        <v>16151.034195723363</v>
      </c>
      <c r="H95" s="31">
        <f t="shared" si="38"/>
        <v>17038.907950752728</v>
      </c>
      <c r="I95" s="31">
        <f t="shared" si="38"/>
        <v>35882.392393284536</v>
      </c>
      <c r="J95" s="31">
        <f t="shared" si="38"/>
        <v>36026.66687709815</v>
      </c>
      <c r="K95" s="31">
        <f t="shared" si="38"/>
        <v>36157.62235783426</v>
      </c>
      <c r="L95" s="31">
        <f t="shared" si="38"/>
        <v>36276.96415857928</v>
      </c>
      <c r="M95" s="31">
        <f t="shared" si="38"/>
        <v>36382.6245436368</v>
      </c>
      <c r="N95" s="31">
        <f t="shared" si="38"/>
        <v>57816.64269351114</v>
      </c>
      <c r="O95" s="900">
        <f>(O93+O84+O72)</f>
        <v>57942.48350813987</v>
      </c>
    </row>
    <row r="96" spans="1:15" ht="15">
      <c r="A96" s="632"/>
      <c r="B96" s="263"/>
      <c r="C96" s="31"/>
      <c r="D96" s="31"/>
      <c r="E96" s="31"/>
      <c r="F96" s="31"/>
      <c r="G96" s="31"/>
      <c r="H96" s="31"/>
      <c r="I96" s="31"/>
      <c r="J96" s="31"/>
      <c r="K96" s="31"/>
      <c r="L96" s="31"/>
      <c r="M96" s="31"/>
      <c r="N96" s="31"/>
      <c r="O96" s="900"/>
    </row>
    <row r="97" spans="1:15" ht="15">
      <c r="A97" s="632" t="s">
        <v>86</v>
      </c>
      <c r="B97" s="263">
        <f aca="true" t="shared" si="39" ref="B97:H97">3%*B95</f>
        <v>0</v>
      </c>
      <c r="C97" s="31">
        <f t="shared" si="39"/>
        <v>0</v>
      </c>
      <c r="D97" s="31">
        <f>3%*D95</f>
        <v>404.36062268141376</v>
      </c>
      <c r="E97" s="31">
        <f t="shared" si="39"/>
        <v>431.13053377248747</v>
      </c>
      <c r="F97" s="31">
        <f t="shared" si="39"/>
        <v>457.8539861600702</v>
      </c>
      <c r="G97" s="31">
        <f t="shared" si="39"/>
        <v>484.5310258717009</v>
      </c>
      <c r="H97" s="31">
        <f t="shared" si="39"/>
        <v>511.1672385225818</v>
      </c>
      <c r="I97" s="31">
        <f aca="true" t="shared" si="40" ref="I97:N97">3%*I95</f>
        <v>1076.471771798536</v>
      </c>
      <c r="J97" s="31">
        <f t="shared" si="40"/>
        <v>1080.8000063129443</v>
      </c>
      <c r="K97" s="31">
        <f t="shared" si="40"/>
        <v>1084.728670735028</v>
      </c>
      <c r="L97" s="31">
        <f t="shared" si="40"/>
        <v>1088.3089247573782</v>
      </c>
      <c r="M97" s="31">
        <f t="shared" si="40"/>
        <v>1091.4787363091039</v>
      </c>
      <c r="N97" s="31">
        <f t="shared" si="40"/>
        <v>1734.4992808053341</v>
      </c>
      <c r="O97" s="900">
        <f>3%*O95</f>
        <v>1738.274505244196</v>
      </c>
    </row>
    <row r="98" spans="1:15" ht="15">
      <c r="A98" s="632"/>
      <c r="B98" s="454"/>
      <c r="C98" s="41"/>
      <c r="D98" s="41"/>
      <c r="E98" s="41"/>
      <c r="F98" s="41"/>
      <c r="G98" s="41"/>
      <c r="H98" s="41"/>
      <c r="I98" s="41"/>
      <c r="J98" s="41"/>
      <c r="K98" s="41"/>
      <c r="L98" s="41"/>
      <c r="M98" s="41"/>
      <c r="N98" s="41"/>
      <c r="O98" s="905"/>
    </row>
    <row r="99" spans="1:15" ht="15">
      <c r="A99" s="633" t="s">
        <v>87</v>
      </c>
      <c r="B99" s="45">
        <f>B95+B97</f>
        <v>0</v>
      </c>
      <c r="C99" s="45">
        <f aca="true" t="shared" si="41" ref="C99:H99">C95+C97</f>
        <v>0</v>
      </c>
      <c r="D99" s="45">
        <f t="shared" si="41"/>
        <v>13883.048045395206</v>
      </c>
      <c r="E99" s="45">
        <f t="shared" si="41"/>
        <v>14802.148326188737</v>
      </c>
      <c r="F99" s="45">
        <f t="shared" si="41"/>
        <v>15719.653524829077</v>
      </c>
      <c r="G99" s="45">
        <f t="shared" si="41"/>
        <v>16635.565221595065</v>
      </c>
      <c r="H99" s="45">
        <f t="shared" si="41"/>
        <v>17550.07518927531</v>
      </c>
      <c r="I99" s="45">
        <f aca="true" t="shared" si="42" ref="I99:N99">I95+I97</f>
        <v>36958.86416508307</v>
      </c>
      <c r="J99" s="45">
        <f t="shared" si="42"/>
        <v>37107.46688341109</v>
      </c>
      <c r="K99" s="45">
        <f t="shared" si="42"/>
        <v>37242.35102856929</v>
      </c>
      <c r="L99" s="45">
        <f t="shared" si="42"/>
        <v>37365.27308333666</v>
      </c>
      <c r="M99" s="45">
        <f t="shared" si="42"/>
        <v>37474.1032799459</v>
      </c>
      <c r="N99" s="45">
        <f t="shared" si="42"/>
        <v>59551.14197431647</v>
      </c>
      <c r="O99" s="874">
        <f>O95+O97</f>
        <v>59680.75801338407</v>
      </c>
    </row>
    <row r="100" spans="1:15" ht="15">
      <c r="A100" s="633" t="s">
        <v>69</v>
      </c>
      <c r="B100" s="271">
        <f>B99/(ECO!L$66*1000)</f>
        <v>0</v>
      </c>
      <c r="C100" s="271">
        <f>C99/(ECO!M$66*1000)</f>
        <v>0</v>
      </c>
      <c r="D100" s="271">
        <f>D99/(ECO!N$66*1000)</f>
        <v>0.0008376951525112307</v>
      </c>
      <c r="E100" s="271">
        <f>E99/(ECO!O$66*1000)</f>
        <v>0.0008117861884639515</v>
      </c>
      <c r="F100" s="271">
        <f>F99/(ECO!P$66*1000)</f>
        <v>0.0007842996476276098</v>
      </c>
      <c r="G100" s="271">
        <f>G99/(ECO!Q$66*1000)</f>
        <v>0.0007559603859131882</v>
      </c>
      <c r="H100" s="271">
        <f>H99/(ECO!R$66*1000)</f>
        <v>0.0007523754097992449</v>
      </c>
      <c r="I100" s="271">
        <f>I99/(ECO!S$66*1000)</f>
        <v>0.0014947493113720612</v>
      </c>
      <c r="J100" s="271">
        <f>J99/(ECO!T$66*1000)</f>
        <v>0.0014158106975822903</v>
      </c>
      <c r="K100" s="271">
        <f>K99/(ECO!U$66*1000)</f>
        <v>0.0013405255776909198</v>
      </c>
      <c r="L100" s="271">
        <f>L99/(ECO!V$66*1000)</f>
        <v>0.0012688208628750543</v>
      </c>
      <c r="M100" s="271">
        <f>M99/(ECO!W$66*1000)</f>
        <v>0.0012004872018788672</v>
      </c>
      <c r="N100" s="271">
        <f>N99/(ECO!X$66*1000)</f>
        <v>0.001799743086462655</v>
      </c>
      <c r="O100" s="968">
        <f>O99/(ECO!Y$66*1000)</f>
        <v>0.001701566337082849</v>
      </c>
    </row>
    <row r="101" spans="1:15" ht="15">
      <c r="A101" s="634" t="s">
        <v>71</v>
      </c>
      <c r="B101" s="964">
        <f>B99/('GGO (SQ)'!L$24*1000)</f>
        <v>0</v>
      </c>
      <c r="C101" s="964">
        <f>C99/('GGO (SQ)'!M$24*1000)</f>
        <v>0</v>
      </c>
      <c r="D101" s="964">
        <f>D99/('GGO (SQ)'!N$24*1000)</f>
        <v>0.00534080494627216</v>
      </c>
      <c r="E101" s="964">
        <f>E99/('GGO (SQ)'!O$24*1000)</f>
        <v>0.005175619887099165</v>
      </c>
      <c r="F101" s="964">
        <f>F99/('GGO (SQ)'!P$24*1000)</f>
        <v>0.005000376837387621</v>
      </c>
      <c r="G101" s="964">
        <f>G99/('GGO (SQ)'!Q$24*1000)</f>
        <v>0.0048196971847904255</v>
      </c>
      <c r="H101" s="964">
        <f>H99/('GGO (SQ)'!R$24*1000)</f>
        <v>0.004796840829343914</v>
      </c>
      <c r="I101" s="964">
        <f>I99/('GGO (SQ)'!S$24*1000)</f>
        <v>0.009529916093797355</v>
      </c>
      <c r="J101" s="964">
        <f>J99/('GGO (SQ)'!T$24*1000)</f>
        <v>0.009026635469913568</v>
      </c>
      <c r="K101" s="964">
        <f>K99/('GGO (SQ)'!U$24*1000)</f>
        <v>0.008546648043113779</v>
      </c>
      <c r="L101" s="964">
        <f>L99/('GGO (SQ)'!V$24*1000)</f>
        <v>0.008089487828671119</v>
      </c>
      <c r="M101" s="964">
        <f>M99/('GGO (SQ)'!W$24*1000)</f>
        <v>0.007653820087785596</v>
      </c>
      <c r="N101" s="964">
        <f>N99/('GGO (SQ)'!X$24*1000)</f>
        <v>0.01147443285231378</v>
      </c>
      <c r="O101" s="971">
        <f>O99/('GGO (SQ)'!Y$24*1000)</f>
        <v>0.010848497669180964</v>
      </c>
    </row>
    <row r="102" spans="1:15" ht="15">
      <c r="A102" s="20"/>
      <c r="C102" s="20"/>
      <c r="D102" s="20"/>
      <c r="E102" s="20"/>
      <c r="F102" s="20"/>
      <c r="G102" s="20"/>
      <c r="H102" s="20"/>
      <c r="I102" s="20"/>
      <c r="J102" s="20"/>
      <c r="K102" s="20"/>
      <c r="L102" s="20"/>
      <c r="M102" s="20"/>
      <c r="N102" s="20"/>
      <c r="O102" s="20"/>
    </row>
    <row r="103" spans="1:15" ht="14.25" customHeight="1">
      <c r="A103" s="1117" t="s">
        <v>639</v>
      </c>
      <c r="B103" s="1118"/>
      <c r="C103" s="1118"/>
      <c r="D103" s="1118"/>
      <c r="E103" s="1118"/>
      <c r="F103" s="1118"/>
      <c r="G103" s="1118"/>
      <c r="H103" s="1118"/>
      <c r="I103" s="1118"/>
      <c r="J103" s="1118"/>
      <c r="K103" s="1118"/>
      <c r="L103" s="1118"/>
      <c r="M103" s="1118"/>
      <c r="N103" s="1118"/>
      <c r="O103" s="1119"/>
    </row>
    <row r="104" spans="1:15" ht="14.25" customHeight="1">
      <c r="A104" s="918" t="s">
        <v>608</v>
      </c>
      <c r="B104" s="639">
        <v>600</v>
      </c>
      <c r="C104" s="1124" t="s">
        <v>609</v>
      </c>
      <c r="D104" s="1124"/>
      <c r="E104" s="1124"/>
      <c r="F104" s="1124"/>
      <c r="G104" s="1124"/>
      <c r="H104" s="639">
        <v>360</v>
      </c>
      <c r="I104" s="1123" t="s">
        <v>610</v>
      </c>
      <c r="J104" s="1123"/>
      <c r="K104" s="1123"/>
      <c r="L104" s="1123"/>
      <c r="M104" s="639">
        <v>600</v>
      </c>
      <c r="N104" s="983"/>
      <c r="O104" s="984"/>
    </row>
    <row r="105" spans="1:16" ht="15" customHeight="1">
      <c r="A105" s="903"/>
      <c r="B105" s="454"/>
      <c r="C105" s="41"/>
      <c r="D105" s="41"/>
      <c r="E105" s="41"/>
      <c r="F105" s="41"/>
      <c r="G105" s="41"/>
      <c r="H105" s="41"/>
      <c r="I105" s="41"/>
      <c r="J105" s="41"/>
      <c r="K105" s="41"/>
      <c r="L105" s="41"/>
      <c r="M105" s="41"/>
      <c r="N105" s="41"/>
      <c r="O105" s="905"/>
      <c r="P105" s="1126"/>
    </row>
    <row r="106" spans="1:16" ht="15">
      <c r="A106" s="903" t="s">
        <v>318</v>
      </c>
      <c r="B106" s="606">
        <f>POP!L105</f>
        <v>4353.597</v>
      </c>
      <c r="C106" s="607">
        <f>POP!M105</f>
        <v>4691.1</v>
      </c>
      <c r="D106" s="607">
        <f>POP!N105</f>
        <v>5028.6</v>
      </c>
      <c r="E106" s="607">
        <f>POP!O105</f>
        <v>5366.1</v>
      </c>
      <c r="F106" s="607">
        <f>POP!P105</f>
        <v>5703.6</v>
      </c>
      <c r="G106" s="607">
        <f>POP!Q105</f>
        <v>6041.1</v>
      </c>
      <c r="H106" s="607">
        <f>POP!R105</f>
        <v>6378.6</v>
      </c>
      <c r="I106" s="607">
        <f>POP!S105</f>
        <v>6534.624931901088</v>
      </c>
      <c r="J106" s="607">
        <f>POP!T105</f>
        <v>6566.489725053358</v>
      </c>
      <c r="K106" s="607">
        <f>POP!U105</f>
        <v>6595.990603300354</v>
      </c>
      <c r="L106" s="607">
        <f>POP!V105</f>
        <v>6623.433011635569</v>
      </c>
      <c r="M106" s="607">
        <f>POP!W105</f>
        <v>6648.433944971596</v>
      </c>
      <c r="N106" s="607">
        <f>POP!X105</f>
        <v>6671.016858982</v>
      </c>
      <c r="O106" s="908">
        <f>POP!Y105</f>
        <v>6691.31612861443</v>
      </c>
      <c r="P106" s="1126"/>
    </row>
    <row r="107" spans="1:16" ht="15">
      <c r="A107" s="904" t="s">
        <v>575</v>
      </c>
      <c r="B107" s="606">
        <f>POP!L107</f>
        <v>10235.658</v>
      </c>
      <c r="C107" s="607">
        <f>POP!M107</f>
        <v>11783.094177983956</v>
      </c>
      <c r="D107" s="607">
        <f>POP!N107</f>
        <v>12630.82590083565</v>
      </c>
      <c r="E107" s="607">
        <f>POP!O107</f>
        <v>13478.557623687346</v>
      </c>
      <c r="F107" s="607">
        <f>POP!P107</f>
        <v>14326.28934653904</v>
      </c>
      <c r="G107" s="607">
        <f>POP!Q107</f>
        <v>15174.021069390736</v>
      </c>
      <c r="H107" s="607">
        <f>POP!R107</f>
        <v>16021.75279224243</v>
      </c>
      <c r="I107" s="607">
        <f>POP!S107</f>
        <v>16413.655856918955</v>
      </c>
      <c r="J107" s="607">
        <f>POP!T107</f>
        <v>16493.693770984988</v>
      </c>
      <c r="K107" s="607">
        <f>POP!U107</f>
        <v>16567.794009035257</v>
      </c>
      <c r="L107" s="607">
        <f>POP!V107</f>
        <v>16636.723787101066</v>
      </c>
      <c r="M107" s="607">
        <f>POP!W107</f>
        <v>16699.521073885808</v>
      </c>
      <c r="N107" s="607">
        <f>POP!X107</f>
        <v>16756.24478529633</v>
      </c>
      <c r="O107" s="908">
        <f>POP!Y107</f>
        <v>16807.23244401672</v>
      </c>
      <c r="P107" s="1126"/>
    </row>
    <row r="108" spans="1:16" ht="12.75" customHeight="1">
      <c r="A108" s="632"/>
      <c r="B108" s="279"/>
      <c r="C108" s="279"/>
      <c r="D108" s="279"/>
      <c r="E108" s="279"/>
      <c r="F108" s="279"/>
      <c r="G108" s="279"/>
      <c r="H108" s="279"/>
      <c r="I108" s="279"/>
      <c r="J108" s="279"/>
      <c r="K108" s="279"/>
      <c r="L108" s="279"/>
      <c r="M108" s="279"/>
      <c r="N108" s="279"/>
      <c r="O108" s="907"/>
      <c r="P108" s="1126"/>
    </row>
    <row r="109" spans="1:16" ht="15">
      <c r="A109" s="632" t="s">
        <v>74</v>
      </c>
      <c r="B109" s="269">
        <v>0</v>
      </c>
      <c r="C109" s="269">
        <v>0</v>
      </c>
      <c r="D109" s="269">
        <v>1</v>
      </c>
      <c r="E109" s="269">
        <v>1</v>
      </c>
      <c r="F109" s="269">
        <v>1</v>
      </c>
      <c r="G109" s="269">
        <v>1</v>
      </c>
      <c r="H109" s="269">
        <v>1</v>
      </c>
      <c r="I109" s="269">
        <v>1</v>
      </c>
      <c r="J109" s="269">
        <v>1</v>
      </c>
      <c r="K109" s="269">
        <v>1</v>
      </c>
      <c r="L109" s="269">
        <v>1</v>
      </c>
      <c r="M109" s="269">
        <v>1</v>
      </c>
      <c r="N109" s="269">
        <v>1</v>
      </c>
      <c r="O109" s="906">
        <v>1</v>
      </c>
      <c r="P109" s="1126"/>
    </row>
    <row r="110" spans="1:16" ht="15">
      <c r="A110" s="40"/>
      <c r="B110" s="454"/>
      <c r="C110" s="41"/>
      <c r="D110" s="41"/>
      <c r="E110" s="41"/>
      <c r="F110" s="41"/>
      <c r="G110" s="41"/>
      <c r="H110" s="41"/>
      <c r="I110" s="41"/>
      <c r="J110" s="41"/>
      <c r="K110" s="41"/>
      <c r="L110" s="41"/>
      <c r="M110" s="41"/>
      <c r="N110" s="41"/>
      <c r="O110" s="905"/>
      <c r="P110" s="1126"/>
    </row>
    <row r="111" spans="1:16" ht="15">
      <c r="A111" s="986" t="s">
        <v>618</v>
      </c>
      <c r="B111" s="454"/>
      <c r="C111" s="41"/>
      <c r="D111" s="41"/>
      <c r="E111" s="41"/>
      <c r="F111" s="41"/>
      <c r="G111" s="41"/>
      <c r="H111" s="41"/>
      <c r="I111" s="41"/>
      <c r="J111" s="41"/>
      <c r="K111" s="41"/>
      <c r="L111" s="41"/>
      <c r="M111" s="41"/>
      <c r="N111" s="41"/>
      <c r="O111" s="905"/>
      <c r="P111" s="1126"/>
    </row>
    <row r="112" spans="1:16" ht="15">
      <c r="A112" s="655" t="s">
        <v>322</v>
      </c>
      <c r="B112" s="454"/>
      <c r="C112" s="41"/>
      <c r="D112" s="41"/>
      <c r="E112" s="41"/>
      <c r="F112" s="41"/>
      <c r="G112" s="41"/>
      <c r="H112" s="41"/>
      <c r="I112" s="41"/>
      <c r="J112" s="41"/>
      <c r="K112" s="41"/>
      <c r="L112" s="41"/>
      <c r="M112" s="41"/>
      <c r="N112" s="41"/>
      <c r="O112" s="905"/>
      <c r="P112" s="1126"/>
    </row>
    <row r="113" spans="1:16" ht="15">
      <c r="A113" s="632" t="s">
        <v>70</v>
      </c>
      <c r="B113" s="31">
        <f aca="true" t="shared" si="43" ref="B113:G113">B106*B109</f>
        <v>0</v>
      </c>
      <c r="C113" s="31">
        <f t="shared" si="43"/>
        <v>0</v>
      </c>
      <c r="D113" s="31">
        <f t="shared" si="43"/>
        <v>5028.6</v>
      </c>
      <c r="E113" s="31">
        <f t="shared" si="43"/>
        <v>5366.1</v>
      </c>
      <c r="F113" s="31">
        <f t="shared" si="43"/>
        <v>5703.6</v>
      </c>
      <c r="G113" s="31">
        <f t="shared" si="43"/>
        <v>6041.1</v>
      </c>
      <c r="H113" s="31">
        <f aca="true" t="shared" si="44" ref="H113:O113">H106*H109</f>
        <v>6378.6</v>
      </c>
      <c r="I113" s="31">
        <f t="shared" si="44"/>
        <v>6534.624931901088</v>
      </c>
      <c r="J113" s="31">
        <f t="shared" si="44"/>
        <v>6566.489725053358</v>
      </c>
      <c r="K113" s="31">
        <f t="shared" si="44"/>
        <v>6595.990603300354</v>
      </c>
      <c r="L113" s="31">
        <f t="shared" si="44"/>
        <v>6623.433011635569</v>
      </c>
      <c r="M113" s="31">
        <f t="shared" si="44"/>
        <v>6648.433944971596</v>
      </c>
      <c r="N113" s="31">
        <f t="shared" si="44"/>
        <v>6671.016858982</v>
      </c>
      <c r="O113" s="900">
        <f t="shared" si="44"/>
        <v>6691.31612861443</v>
      </c>
      <c r="P113" s="1126"/>
    </row>
    <row r="114" spans="1:15" ht="15">
      <c r="A114" s="632" t="s">
        <v>611</v>
      </c>
      <c r="B114" s="263">
        <f>$B$104*12</f>
        <v>7200</v>
      </c>
      <c r="C114" s="31">
        <f aca="true" t="shared" si="45" ref="C114:I114">B114</f>
        <v>7200</v>
      </c>
      <c r="D114" s="31">
        <f t="shared" si="45"/>
        <v>7200</v>
      </c>
      <c r="E114" s="31">
        <f t="shared" si="45"/>
        <v>7200</v>
      </c>
      <c r="F114" s="31">
        <f t="shared" si="45"/>
        <v>7200</v>
      </c>
      <c r="G114" s="31">
        <f t="shared" si="45"/>
        <v>7200</v>
      </c>
      <c r="H114" s="31">
        <f t="shared" si="45"/>
        <v>7200</v>
      </c>
      <c r="I114" s="31">
        <f t="shared" si="45"/>
        <v>7200</v>
      </c>
      <c r="J114" s="31">
        <f aca="true" t="shared" si="46" ref="J114:O115">I114</f>
        <v>7200</v>
      </c>
      <c r="K114" s="31">
        <f t="shared" si="46"/>
        <v>7200</v>
      </c>
      <c r="L114" s="31">
        <f t="shared" si="46"/>
        <v>7200</v>
      </c>
      <c r="M114" s="31">
        <f t="shared" si="46"/>
        <v>7200</v>
      </c>
      <c r="N114" s="31">
        <f t="shared" si="46"/>
        <v>7200</v>
      </c>
      <c r="O114" s="900">
        <f t="shared" si="46"/>
        <v>7200</v>
      </c>
    </row>
    <row r="115" spans="1:15" ht="15">
      <c r="A115" s="632" t="s">
        <v>613</v>
      </c>
      <c r="B115" s="263">
        <f>500*12</f>
        <v>6000</v>
      </c>
      <c r="C115" s="31">
        <f>B115</f>
        <v>6000</v>
      </c>
      <c r="D115" s="31">
        <f aca="true" t="shared" si="47" ref="D115:I115">C115</f>
        <v>6000</v>
      </c>
      <c r="E115" s="31">
        <f t="shared" si="47"/>
        <v>6000</v>
      </c>
      <c r="F115" s="31">
        <f t="shared" si="47"/>
        <v>6000</v>
      </c>
      <c r="G115" s="31">
        <f t="shared" si="47"/>
        <v>6000</v>
      </c>
      <c r="H115" s="31">
        <f t="shared" si="47"/>
        <v>6000</v>
      </c>
      <c r="I115" s="31">
        <f t="shared" si="47"/>
        <v>6000</v>
      </c>
      <c r="J115" s="31">
        <f t="shared" si="46"/>
        <v>6000</v>
      </c>
      <c r="K115" s="31">
        <f t="shared" si="46"/>
        <v>6000</v>
      </c>
      <c r="L115" s="31">
        <f t="shared" si="46"/>
        <v>6000</v>
      </c>
      <c r="M115" s="31">
        <f t="shared" si="46"/>
        <v>6000</v>
      </c>
      <c r="N115" s="31">
        <f t="shared" si="46"/>
        <v>6000</v>
      </c>
      <c r="O115" s="900">
        <f t="shared" si="46"/>
        <v>6000</v>
      </c>
    </row>
    <row r="116" spans="1:15" s="1037" customFormat="1" ht="15">
      <c r="A116" s="632" t="s">
        <v>538</v>
      </c>
      <c r="B116" s="263">
        <f>B114-B115</f>
        <v>1200</v>
      </c>
      <c r="C116" s="31">
        <f aca="true" t="shared" si="48" ref="C116:O116">C114-C115</f>
        <v>1200</v>
      </c>
      <c r="D116" s="31">
        <f t="shared" si="48"/>
        <v>1200</v>
      </c>
      <c r="E116" s="31">
        <f t="shared" si="48"/>
        <v>1200</v>
      </c>
      <c r="F116" s="31">
        <f t="shared" si="48"/>
        <v>1200</v>
      </c>
      <c r="G116" s="31">
        <f t="shared" si="48"/>
        <v>1200</v>
      </c>
      <c r="H116" s="31">
        <f t="shared" si="48"/>
        <v>1200</v>
      </c>
      <c r="I116" s="31">
        <f t="shared" si="48"/>
        <v>1200</v>
      </c>
      <c r="J116" s="31">
        <f t="shared" si="48"/>
        <v>1200</v>
      </c>
      <c r="K116" s="31">
        <f t="shared" si="48"/>
        <v>1200</v>
      </c>
      <c r="L116" s="31">
        <f t="shared" si="48"/>
        <v>1200</v>
      </c>
      <c r="M116" s="31">
        <f t="shared" si="48"/>
        <v>1200</v>
      </c>
      <c r="N116" s="31">
        <f t="shared" si="48"/>
        <v>1200</v>
      </c>
      <c r="O116" s="900">
        <f t="shared" si="48"/>
        <v>1200</v>
      </c>
    </row>
    <row r="117" spans="1:15" ht="15">
      <c r="A117" s="632"/>
      <c r="B117" s="263"/>
      <c r="C117" s="31"/>
      <c r="D117" s="31"/>
      <c r="E117" s="31"/>
      <c r="F117" s="31"/>
      <c r="G117" s="31"/>
      <c r="H117" s="31"/>
      <c r="I117" s="31"/>
      <c r="J117" s="31"/>
      <c r="K117" s="31"/>
      <c r="L117" s="31"/>
      <c r="M117" s="31"/>
      <c r="N117" s="31"/>
      <c r="O117" s="900"/>
    </row>
    <row r="118" spans="1:15" ht="15">
      <c r="A118" s="987" t="s">
        <v>612</v>
      </c>
      <c r="B118" s="1034">
        <f>(B116*B113)/1000</f>
        <v>0</v>
      </c>
      <c r="C118" s="1035">
        <f aca="true" t="shared" si="49" ref="C118:O118">(C116*C113)/1000</f>
        <v>0</v>
      </c>
      <c r="D118" s="1035">
        <f t="shared" si="49"/>
        <v>6034.32</v>
      </c>
      <c r="E118" s="1035">
        <f t="shared" si="49"/>
        <v>6439.32</v>
      </c>
      <c r="F118" s="1035">
        <f t="shared" si="49"/>
        <v>6844.32</v>
      </c>
      <c r="G118" s="1035">
        <f t="shared" si="49"/>
        <v>7249.32</v>
      </c>
      <c r="H118" s="1035">
        <f t="shared" si="49"/>
        <v>7654.32</v>
      </c>
      <c r="I118" s="1035">
        <f t="shared" si="49"/>
        <v>7841.5499182813055</v>
      </c>
      <c r="J118" s="1035">
        <f t="shared" si="49"/>
        <v>7879.787670064029</v>
      </c>
      <c r="K118" s="1035">
        <f t="shared" si="49"/>
        <v>7915.188723960426</v>
      </c>
      <c r="L118" s="1035">
        <f t="shared" si="49"/>
        <v>7948.119613962682</v>
      </c>
      <c r="M118" s="1035">
        <f t="shared" si="49"/>
        <v>7978.120733965916</v>
      </c>
      <c r="N118" s="1035">
        <f t="shared" si="49"/>
        <v>8005.2202307784</v>
      </c>
      <c r="O118" s="1036">
        <f t="shared" si="49"/>
        <v>8029.5793543373165</v>
      </c>
    </row>
    <row r="119" spans="1:15" ht="15">
      <c r="A119" s="632"/>
      <c r="B119" s="263"/>
      <c r="C119" s="31"/>
      <c r="D119" s="31"/>
      <c r="E119" s="31"/>
      <c r="F119" s="31"/>
      <c r="G119" s="31"/>
      <c r="H119" s="31"/>
      <c r="I119" s="31"/>
      <c r="J119" s="31"/>
      <c r="K119" s="31"/>
      <c r="L119" s="31"/>
      <c r="M119" s="31"/>
      <c r="N119" s="31"/>
      <c r="O119" s="900"/>
    </row>
    <row r="120" spans="1:15" ht="15">
      <c r="A120" s="986" t="s">
        <v>577</v>
      </c>
      <c r="B120" s="263"/>
      <c r="C120" s="31"/>
      <c r="D120" s="31"/>
      <c r="E120" s="31"/>
      <c r="F120" s="31"/>
      <c r="G120" s="31"/>
      <c r="H120" s="31"/>
      <c r="I120" s="31"/>
      <c r="J120" s="31"/>
      <c r="K120" s="31"/>
      <c r="L120" s="31"/>
      <c r="M120" s="31"/>
      <c r="N120" s="31"/>
      <c r="O120" s="900"/>
    </row>
    <row r="121" spans="1:16" ht="15">
      <c r="A121" s="904" t="s">
        <v>576</v>
      </c>
      <c r="B121" s="606">
        <f>B107*87%</f>
        <v>8905.02246</v>
      </c>
      <c r="C121" s="607">
        <f aca="true" t="shared" si="50" ref="C121:O121">C107*87%</f>
        <v>10251.291934846042</v>
      </c>
      <c r="D121" s="607">
        <f t="shared" si="50"/>
        <v>10988.818533727017</v>
      </c>
      <c r="E121" s="607">
        <f t="shared" si="50"/>
        <v>11726.34513260799</v>
      </c>
      <c r="F121" s="607">
        <f t="shared" si="50"/>
        <v>12463.871731488965</v>
      </c>
      <c r="G121" s="607">
        <f t="shared" si="50"/>
        <v>13201.39833036994</v>
      </c>
      <c r="H121" s="607">
        <f t="shared" si="50"/>
        <v>13938.924929250914</v>
      </c>
      <c r="I121" s="607">
        <f t="shared" si="50"/>
        <v>14279.880595519491</v>
      </c>
      <c r="J121" s="607">
        <f t="shared" si="50"/>
        <v>14349.51358075694</v>
      </c>
      <c r="K121" s="607">
        <f t="shared" si="50"/>
        <v>14413.980787860673</v>
      </c>
      <c r="L121" s="607">
        <f t="shared" si="50"/>
        <v>14473.949694777926</v>
      </c>
      <c r="M121" s="607">
        <f t="shared" si="50"/>
        <v>14528.583334280653</v>
      </c>
      <c r="N121" s="607">
        <f t="shared" si="50"/>
        <v>14577.932963207808</v>
      </c>
      <c r="O121" s="908">
        <f t="shared" si="50"/>
        <v>14622.292226294547</v>
      </c>
      <c r="P121" s="909" t="s">
        <v>588</v>
      </c>
    </row>
    <row r="122" spans="1:16" ht="15">
      <c r="A122" s="986"/>
      <c r="B122" s="263"/>
      <c r="C122" s="31"/>
      <c r="D122" s="31"/>
      <c r="E122" s="31"/>
      <c r="F122" s="31"/>
      <c r="G122" s="31"/>
      <c r="H122" s="31"/>
      <c r="I122" s="31"/>
      <c r="J122" s="31"/>
      <c r="K122" s="31"/>
      <c r="L122" s="31"/>
      <c r="M122" s="31"/>
      <c r="N122" s="31"/>
      <c r="O122" s="900"/>
      <c r="P122" s="1125" t="s">
        <v>583</v>
      </c>
    </row>
    <row r="123" spans="1:16" ht="15">
      <c r="A123" s="655" t="s">
        <v>323</v>
      </c>
      <c r="B123" s="263"/>
      <c r="C123" s="31"/>
      <c r="D123" s="31"/>
      <c r="E123" s="31"/>
      <c r="F123" s="31"/>
      <c r="G123" s="31"/>
      <c r="H123" s="31"/>
      <c r="I123" s="31"/>
      <c r="J123" s="31"/>
      <c r="K123" s="31"/>
      <c r="L123" s="31"/>
      <c r="M123" s="31"/>
      <c r="N123" s="31"/>
      <c r="O123" s="900"/>
      <c r="P123" s="1125"/>
    </row>
    <row r="124" spans="1:16" ht="15">
      <c r="A124" s="632" t="s">
        <v>566</v>
      </c>
      <c r="B124" s="263">
        <f>((B121*Calculations!L129)*(Calculations!L172+Calculations!L173))+(B121*Calculations!L130)+(B121*Calculations!L131)</f>
        <v>6574.106542136137</v>
      </c>
      <c r="C124" s="31">
        <f>((C121*Calculations!M129)*(Calculations!M172+Calculations!M173))+(C121*Calculations!M130)+(C121*Calculations!M131)</f>
        <v>7628.647850925711</v>
      </c>
      <c r="D124" s="31">
        <f>((D121*Calculations!N129)*(Calculations!N172+Calculations!N173))+(D121*Calculations!N130)+(D121*Calculations!N131)</f>
        <v>8242.516813573782</v>
      </c>
      <c r="E124" s="31">
        <f>((E121*Calculations!O129)*(Calculations!O172+Calculations!O173))+(E121*Calculations!O130)+(E121*Calculations!O131)</f>
        <v>8865.113494785317</v>
      </c>
      <c r="F124" s="31">
        <f>((F121*Calculations!P129)*(Calculations!P172+Calculations!P173))+(F121*Calculations!P130)+(F121*Calculations!P131)</f>
        <v>9496.437878096858</v>
      </c>
      <c r="G124" s="31">
        <f>((G121*Calculations!Q129)*(Calculations!Q172+Calculations!Q173))+(G121*Calculations!Q130)+(G121*Calculations!Q131)</f>
        <v>10136.492520593907</v>
      </c>
      <c r="H124" s="31">
        <f>((H121*Calculations!R129)*(Calculations!R172+Calculations!R173))+(H121*Calculations!R130)+(H121*Calculations!R131)</f>
        <v>10785.587734232144</v>
      </c>
      <c r="I124" s="31">
        <f>((I121*Calculations!S129)*(Calculations!S172+Calculations!S173))+(I121*Calculations!S130)+(I121*Calculations!S131)</f>
        <v>11134.191688515188</v>
      </c>
      <c r="J124" s="31">
        <f>((J121*Calculations!T129)*(Calculations!T172+Calculations!T173))+(J121*Calculations!T130)+(J121*Calculations!T131)</f>
        <v>11273.629336959219</v>
      </c>
      <c r="K124" s="31">
        <f>((K121*Calculations!U129)*(Calculations!U172+Calculations!U173))+(K121*Calculations!U130)+(K121*Calculations!U131)</f>
        <v>11409.753472581975</v>
      </c>
      <c r="L124" s="31">
        <f>((L121*Calculations!V129)*(Calculations!V172+Calculations!V173))+(L121*Calculations!V130)+(L121*Calculations!V131)</f>
        <v>11543.003829484787</v>
      </c>
      <c r="M124" s="31">
        <f>((M121*Calculations!W129)*(Calculations!W172+Calculations!W173))+(M121*Calculations!W130)+(M121*Calculations!W131)</f>
        <v>11672.6273559161</v>
      </c>
      <c r="N124" s="31">
        <f>((N121*Calculations!X129)*(Calculations!X172+Calculations!X173))+(N121*Calculations!X130)+(N121*Calculations!X131)</f>
        <v>11798.5701566996</v>
      </c>
      <c r="O124" s="900">
        <f>((O121*Calculations!Y129)*(Calculations!Y172+Calculations!Y173))+(O121*Calculations!Y130)+(O121*Calculations!Y131)</f>
        <v>11920.977271555006</v>
      </c>
      <c r="P124" s="1125"/>
    </row>
    <row r="125" spans="1:16" ht="15">
      <c r="A125" s="632" t="s">
        <v>70</v>
      </c>
      <c r="B125" s="263">
        <f>B124*B109</f>
        <v>0</v>
      </c>
      <c r="C125" s="31">
        <f aca="true" t="shared" si="51" ref="C125:O125">C124*C109</f>
        <v>0</v>
      </c>
      <c r="D125" s="31">
        <f t="shared" si="51"/>
        <v>8242.516813573782</v>
      </c>
      <c r="E125" s="31">
        <f t="shared" si="51"/>
        <v>8865.113494785317</v>
      </c>
      <c r="F125" s="31">
        <f t="shared" si="51"/>
        <v>9496.437878096858</v>
      </c>
      <c r="G125" s="31">
        <f t="shared" si="51"/>
        <v>10136.492520593907</v>
      </c>
      <c r="H125" s="31">
        <f t="shared" si="51"/>
        <v>10785.587734232144</v>
      </c>
      <c r="I125" s="31">
        <f t="shared" si="51"/>
        <v>11134.191688515188</v>
      </c>
      <c r="J125" s="31">
        <f t="shared" si="51"/>
        <v>11273.629336959219</v>
      </c>
      <c r="K125" s="31">
        <f t="shared" si="51"/>
        <v>11409.753472581975</v>
      </c>
      <c r="L125" s="31">
        <f t="shared" si="51"/>
        <v>11543.003829484787</v>
      </c>
      <c r="M125" s="31">
        <f t="shared" si="51"/>
        <v>11672.6273559161</v>
      </c>
      <c r="N125" s="31">
        <f t="shared" si="51"/>
        <v>11798.5701566996</v>
      </c>
      <c r="O125" s="900">
        <f t="shared" si="51"/>
        <v>11920.977271555006</v>
      </c>
      <c r="P125" s="1125"/>
    </row>
    <row r="126" spans="1:16" ht="15">
      <c r="A126" s="632" t="s">
        <v>614</v>
      </c>
      <c r="B126" s="263">
        <f>$H$104*10</f>
        <v>3600</v>
      </c>
      <c r="C126" s="31">
        <f aca="true" t="shared" si="52" ref="C126:O126">B126</f>
        <v>3600</v>
      </c>
      <c r="D126" s="31">
        <f t="shared" si="52"/>
        <v>3600</v>
      </c>
      <c r="E126" s="31">
        <f t="shared" si="52"/>
        <v>3600</v>
      </c>
      <c r="F126" s="31">
        <f t="shared" si="52"/>
        <v>3600</v>
      </c>
      <c r="G126" s="31">
        <f t="shared" si="52"/>
        <v>3600</v>
      </c>
      <c r="H126" s="31">
        <f t="shared" si="52"/>
        <v>3600</v>
      </c>
      <c r="I126" s="31">
        <f t="shared" si="52"/>
        <v>3600</v>
      </c>
      <c r="J126" s="31">
        <f t="shared" si="52"/>
        <v>3600</v>
      </c>
      <c r="K126" s="31">
        <f t="shared" si="52"/>
        <v>3600</v>
      </c>
      <c r="L126" s="31">
        <f t="shared" si="52"/>
        <v>3600</v>
      </c>
      <c r="M126" s="31">
        <f t="shared" si="52"/>
        <v>3600</v>
      </c>
      <c r="N126" s="31">
        <f t="shared" si="52"/>
        <v>3600</v>
      </c>
      <c r="O126" s="900">
        <f t="shared" si="52"/>
        <v>3600</v>
      </c>
      <c r="P126" s="1125"/>
    </row>
    <row r="127" spans="1:15" ht="15">
      <c r="A127" s="632" t="s">
        <v>615</v>
      </c>
      <c r="B127" s="263">
        <f>300*10</f>
        <v>3000</v>
      </c>
      <c r="C127" s="31">
        <f>B127</f>
        <v>3000</v>
      </c>
      <c r="D127" s="31">
        <f aca="true" t="shared" si="53" ref="D127:O127">C127</f>
        <v>3000</v>
      </c>
      <c r="E127" s="31">
        <f t="shared" si="53"/>
        <v>3000</v>
      </c>
      <c r="F127" s="31">
        <f t="shared" si="53"/>
        <v>3000</v>
      </c>
      <c r="G127" s="31">
        <f t="shared" si="53"/>
        <v>3000</v>
      </c>
      <c r="H127" s="31">
        <f t="shared" si="53"/>
        <v>3000</v>
      </c>
      <c r="I127" s="31">
        <f t="shared" si="53"/>
        <v>3000</v>
      </c>
      <c r="J127" s="31">
        <f t="shared" si="53"/>
        <v>3000</v>
      </c>
      <c r="K127" s="31">
        <f t="shared" si="53"/>
        <v>3000</v>
      </c>
      <c r="L127" s="31">
        <f t="shared" si="53"/>
        <v>3000</v>
      </c>
      <c r="M127" s="31">
        <f t="shared" si="53"/>
        <v>3000</v>
      </c>
      <c r="N127" s="31">
        <f t="shared" si="53"/>
        <v>3000</v>
      </c>
      <c r="O127" s="31">
        <f t="shared" si="53"/>
        <v>3000</v>
      </c>
    </row>
    <row r="128" spans="1:15" ht="15">
      <c r="A128" s="1038" t="s">
        <v>616</v>
      </c>
      <c r="B128" s="263">
        <f>B126-B127</f>
        <v>600</v>
      </c>
      <c r="C128" s="31">
        <f aca="true" t="shared" si="54" ref="C128:O128">C126-C127</f>
        <v>600</v>
      </c>
      <c r="D128" s="31">
        <f t="shared" si="54"/>
        <v>600</v>
      </c>
      <c r="E128" s="31">
        <f t="shared" si="54"/>
        <v>600</v>
      </c>
      <c r="F128" s="31">
        <f t="shared" si="54"/>
        <v>600</v>
      </c>
      <c r="G128" s="31">
        <f t="shared" si="54"/>
        <v>600</v>
      </c>
      <c r="H128" s="31">
        <f t="shared" si="54"/>
        <v>600</v>
      </c>
      <c r="I128" s="31">
        <f t="shared" si="54"/>
        <v>600</v>
      </c>
      <c r="J128" s="31">
        <f t="shared" si="54"/>
        <v>600</v>
      </c>
      <c r="K128" s="31">
        <f t="shared" si="54"/>
        <v>600</v>
      </c>
      <c r="L128" s="31">
        <f t="shared" si="54"/>
        <v>600</v>
      </c>
      <c r="M128" s="31">
        <f t="shared" si="54"/>
        <v>600</v>
      </c>
      <c r="N128" s="31">
        <f t="shared" si="54"/>
        <v>600</v>
      </c>
      <c r="O128" s="900">
        <f t="shared" si="54"/>
        <v>600</v>
      </c>
    </row>
    <row r="129" spans="1:15" ht="15">
      <c r="A129" s="632"/>
      <c r="B129" s="263"/>
      <c r="C129" s="31"/>
      <c r="D129" s="31"/>
      <c r="E129" s="31"/>
      <c r="F129" s="31"/>
      <c r="G129" s="31"/>
      <c r="H129" s="31"/>
      <c r="I129" s="31"/>
      <c r="J129" s="31"/>
      <c r="K129" s="31"/>
      <c r="L129" s="31"/>
      <c r="M129" s="31"/>
      <c r="N129" s="31"/>
      <c r="O129" s="900"/>
    </row>
    <row r="130" spans="1:15" ht="15">
      <c r="A130" s="987" t="s">
        <v>617</v>
      </c>
      <c r="B130" s="1034">
        <f aca="true" t="shared" si="55" ref="B130:O130">(B125*B128)/1000</f>
        <v>0</v>
      </c>
      <c r="C130" s="1035">
        <f t="shared" si="55"/>
        <v>0</v>
      </c>
      <c r="D130" s="1035">
        <f t="shared" si="55"/>
        <v>4945.5100881442695</v>
      </c>
      <c r="E130" s="1035">
        <f t="shared" si="55"/>
        <v>5319.0680968711895</v>
      </c>
      <c r="F130" s="1035">
        <f t="shared" si="55"/>
        <v>5697.862726858115</v>
      </c>
      <c r="G130" s="1035">
        <f t="shared" si="55"/>
        <v>6081.895512356345</v>
      </c>
      <c r="H130" s="1035">
        <f t="shared" si="55"/>
        <v>6471.352640539287</v>
      </c>
      <c r="I130" s="1035">
        <f t="shared" si="55"/>
        <v>6680.515013109112</v>
      </c>
      <c r="J130" s="1035">
        <f t="shared" si="55"/>
        <v>6764.177602175531</v>
      </c>
      <c r="K130" s="1035">
        <f t="shared" si="55"/>
        <v>6845.8520835491845</v>
      </c>
      <c r="L130" s="1035">
        <f t="shared" si="55"/>
        <v>6925.802297690872</v>
      </c>
      <c r="M130" s="1035">
        <f t="shared" si="55"/>
        <v>7003.57641354966</v>
      </c>
      <c r="N130" s="1035">
        <f t="shared" si="55"/>
        <v>7079.1420940197595</v>
      </c>
      <c r="O130" s="1036">
        <f t="shared" si="55"/>
        <v>7152.586362933003</v>
      </c>
    </row>
    <row r="131" spans="1:15" ht="15">
      <c r="A131" s="632"/>
      <c r="B131" s="263"/>
      <c r="C131" s="31"/>
      <c r="D131" s="31"/>
      <c r="E131" s="31"/>
      <c r="F131" s="31"/>
      <c r="G131" s="31"/>
      <c r="H131" s="31"/>
      <c r="I131" s="31"/>
      <c r="J131" s="31"/>
      <c r="K131" s="31"/>
      <c r="L131" s="31"/>
      <c r="M131" s="31"/>
      <c r="N131" s="31"/>
      <c r="O131" s="900"/>
    </row>
    <row r="132" spans="1:15" ht="15">
      <c r="A132" s="655" t="s">
        <v>324</v>
      </c>
      <c r="B132" s="263"/>
      <c r="C132" s="31"/>
      <c r="D132" s="31"/>
      <c r="E132" s="31"/>
      <c r="F132" s="31"/>
      <c r="G132" s="31"/>
      <c r="H132" s="31"/>
      <c r="I132" s="31"/>
      <c r="J132" s="31"/>
      <c r="K132" s="31"/>
      <c r="L132" s="31"/>
      <c r="M132" s="31"/>
      <c r="N132" s="31"/>
      <c r="O132" s="900"/>
    </row>
    <row r="133" spans="1:16" ht="15">
      <c r="A133" s="632" t="s">
        <v>565</v>
      </c>
      <c r="B133" s="263">
        <f>(B121*Calculations!L132)</f>
        <v>2106.928314036</v>
      </c>
      <c r="C133" s="31">
        <f>(C121*Calculations!M132)</f>
        <v>2378.2997288842816</v>
      </c>
      <c r="D133" s="31">
        <f>(D121*Calculations!N132)</f>
        <v>2498.8573345695236</v>
      </c>
      <c r="E133" s="31">
        <f>(E121*Calculations!O132)</f>
        <v>2612.62969554506</v>
      </c>
      <c r="F133" s="31">
        <f>(F121*Calculations!P132)</f>
        <v>2719.616811810892</v>
      </c>
      <c r="G133" s="31">
        <f>(G121*Calculations!Q132)</f>
        <v>2819.8186833670193</v>
      </c>
      <c r="H133" s="31">
        <f>(H121*Calculations!R132)</f>
        <v>2913.2353102134407</v>
      </c>
      <c r="I133" s="31">
        <f>(I121*Calculations!S132)</f>
        <v>2918.807593724184</v>
      </c>
      <c r="J133" s="31">
        <f>(J121*Calculations!T132)</f>
        <v>2867.032813435236</v>
      </c>
      <c r="K133" s="31">
        <f>(K121*Calculations!U132)</f>
        <v>2813.6090497904033</v>
      </c>
      <c r="L133" s="31">
        <f>(L121*Calculations!V132)</f>
        <v>2758.7348118246728</v>
      </c>
      <c r="M133" s="31">
        <f>(M121*Calculations!W132)</f>
        <v>2702.316500176201</v>
      </c>
      <c r="N133" s="31">
        <f>(N121*Calculations!X132)</f>
        <v>2644.437039525896</v>
      </c>
      <c r="O133" s="900">
        <f>(O121*Calculations!Y132)</f>
        <v>2585.2212656088755</v>
      </c>
      <c r="P133" s="608"/>
    </row>
    <row r="134" spans="1:16" ht="15">
      <c r="A134" s="632" t="s">
        <v>70</v>
      </c>
      <c r="B134" s="263">
        <f aca="true" t="shared" si="56" ref="B134:O134">B133*B109</f>
        <v>0</v>
      </c>
      <c r="C134" s="31">
        <f t="shared" si="56"/>
        <v>0</v>
      </c>
      <c r="D134" s="31">
        <f t="shared" si="56"/>
        <v>2498.8573345695236</v>
      </c>
      <c r="E134" s="31">
        <f t="shared" si="56"/>
        <v>2612.62969554506</v>
      </c>
      <c r="F134" s="31">
        <f t="shared" si="56"/>
        <v>2719.616811810892</v>
      </c>
      <c r="G134" s="31">
        <f t="shared" si="56"/>
        <v>2819.8186833670193</v>
      </c>
      <c r="H134" s="31">
        <f t="shared" si="56"/>
        <v>2913.2353102134407</v>
      </c>
      <c r="I134" s="31">
        <f t="shared" si="56"/>
        <v>2918.807593724184</v>
      </c>
      <c r="J134" s="31">
        <f t="shared" si="56"/>
        <v>2867.032813435236</v>
      </c>
      <c r="K134" s="31">
        <f t="shared" si="56"/>
        <v>2813.6090497904033</v>
      </c>
      <c r="L134" s="31">
        <f t="shared" si="56"/>
        <v>2758.7348118246728</v>
      </c>
      <c r="M134" s="31">
        <f t="shared" si="56"/>
        <v>2702.316500176201</v>
      </c>
      <c r="N134" s="31">
        <f t="shared" si="56"/>
        <v>2644.437039525896</v>
      </c>
      <c r="O134" s="900">
        <f t="shared" si="56"/>
        <v>2585.2212656088755</v>
      </c>
      <c r="P134" s="608"/>
    </row>
    <row r="135" spans="1:15" ht="15">
      <c r="A135" s="632" t="s">
        <v>614</v>
      </c>
      <c r="B135" s="263">
        <f>$M$104*10</f>
        <v>6000</v>
      </c>
      <c r="C135" s="31">
        <f>B135</f>
        <v>6000</v>
      </c>
      <c r="D135" s="31">
        <f aca="true" t="shared" si="57" ref="D135:O135">C135</f>
        <v>6000</v>
      </c>
      <c r="E135" s="31">
        <f t="shared" si="57"/>
        <v>6000</v>
      </c>
      <c r="F135" s="31">
        <f t="shared" si="57"/>
        <v>6000</v>
      </c>
      <c r="G135" s="31">
        <f t="shared" si="57"/>
        <v>6000</v>
      </c>
      <c r="H135" s="31">
        <f t="shared" si="57"/>
        <v>6000</v>
      </c>
      <c r="I135" s="31">
        <f t="shared" si="57"/>
        <v>6000</v>
      </c>
      <c r="J135" s="31">
        <f t="shared" si="57"/>
        <v>6000</v>
      </c>
      <c r="K135" s="31">
        <f t="shared" si="57"/>
        <v>6000</v>
      </c>
      <c r="L135" s="31">
        <f t="shared" si="57"/>
        <v>6000</v>
      </c>
      <c r="M135" s="31">
        <f t="shared" si="57"/>
        <v>6000</v>
      </c>
      <c r="N135" s="31">
        <f t="shared" si="57"/>
        <v>6000</v>
      </c>
      <c r="O135" s="900">
        <f t="shared" si="57"/>
        <v>6000</v>
      </c>
    </row>
    <row r="136" spans="1:15" ht="15">
      <c r="A136" s="632" t="s">
        <v>615</v>
      </c>
      <c r="B136" s="263">
        <f>500*10</f>
        <v>5000</v>
      </c>
      <c r="C136" s="31">
        <f>B136</f>
        <v>5000</v>
      </c>
      <c r="D136" s="31">
        <f aca="true" t="shared" si="58" ref="D136:O136">C136</f>
        <v>5000</v>
      </c>
      <c r="E136" s="31">
        <f t="shared" si="58"/>
        <v>5000</v>
      </c>
      <c r="F136" s="31">
        <f t="shared" si="58"/>
        <v>5000</v>
      </c>
      <c r="G136" s="31">
        <f t="shared" si="58"/>
        <v>5000</v>
      </c>
      <c r="H136" s="31">
        <f t="shared" si="58"/>
        <v>5000</v>
      </c>
      <c r="I136" s="31">
        <f t="shared" si="58"/>
        <v>5000</v>
      </c>
      <c r="J136" s="31">
        <f t="shared" si="58"/>
        <v>5000</v>
      </c>
      <c r="K136" s="31">
        <f t="shared" si="58"/>
        <v>5000</v>
      </c>
      <c r="L136" s="31">
        <f t="shared" si="58"/>
        <v>5000</v>
      </c>
      <c r="M136" s="31">
        <f t="shared" si="58"/>
        <v>5000</v>
      </c>
      <c r="N136" s="31">
        <f t="shared" si="58"/>
        <v>5000</v>
      </c>
      <c r="O136" s="900">
        <f t="shared" si="58"/>
        <v>5000</v>
      </c>
    </row>
    <row r="137" spans="1:15" ht="15">
      <c r="A137" s="1038" t="s">
        <v>616</v>
      </c>
      <c r="B137" s="263">
        <f>B135-B136</f>
        <v>1000</v>
      </c>
      <c r="C137" s="31">
        <f aca="true" t="shared" si="59" ref="C137:O137">C135-C136</f>
        <v>1000</v>
      </c>
      <c r="D137" s="31">
        <f t="shared" si="59"/>
        <v>1000</v>
      </c>
      <c r="E137" s="31">
        <f t="shared" si="59"/>
        <v>1000</v>
      </c>
      <c r="F137" s="31">
        <f t="shared" si="59"/>
        <v>1000</v>
      </c>
      <c r="G137" s="31">
        <f t="shared" si="59"/>
        <v>1000</v>
      </c>
      <c r="H137" s="31">
        <f t="shared" si="59"/>
        <v>1000</v>
      </c>
      <c r="I137" s="31">
        <f t="shared" si="59"/>
        <v>1000</v>
      </c>
      <c r="J137" s="31">
        <f t="shared" si="59"/>
        <v>1000</v>
      </c>
      <c r="K137" s="31">
        <f t="shared" si="59"/>
        <v>1000</v>
      </c>
      <c r="L137" s="31">
        <f t="shared" si="59"/>
        <v>1000</v>
      </c>
      <c r="M137" s="31">
        <f t="shared" si="59"/>
        <v>1000</v>
      </c>
      <c r="N137" s="31">
        <f t="shared" si="59"/>
        <v>1000</v>
      </c>
      <c r="O137" s="900">
        <f t="shared" si="59"/>
        <v>1000</v>
      </c>
    </row>
    <row r="138" spans="1:15" ht="15">
      <c r="A138" s="632"/>
      <c r="B138" s="263"/>
      <c r="C138" s="31"/>
      <c r="D138" s="31"/>
      <c r="E138" s="31"/>
      <c r="F138" s="31"/>
      <c r="G138" s="31"/>
      <c r="H138" s="31"/>
      <c r="I138" s="31"/>
      <c r="J138" s="31"/>
      <c r="K138" s="31"/>
      <c r="L138" s="31"/>
      <c r="M138" s="31"/>
      <c r="N138" s="31"/>
      <c r="O138" s="900"/>
    </row>
    <row r="139" spans="1:15" s="1037" customFormat="1" ht="15">
      <c r="A139" s="987" t="s">
        <v>617</v>
      </c>
      <c r="B139" s="1034">
        <f>(B134*B137)/1000</f>
        <v>0</v>
      </c>
      <c r="C139" s="1035">
        <f aca="true" t="shared" si="60" ref="C139:O139">(C134*C137)/1000</f>
        <v>0</v>
      </c>
      <c r="D139" s="1035">
        <f t="shared" si="60"/>
        <v>2498.8573345695236</v>
      </c>
      <c r="E139" s="1035">
        <f t="shared" si="60"/>
        <v>2612.62969554506</v>
      </c>
      <c r="F139" s="1035">
        <f t="shared" si="60"/>
        <v>2719.616811810892</v>
      </c>
      <c r="G139" s="1035">
        <f t="shared" si="60"/>
        <v>2819.8186833670193</v>
      </c>
      <c r="H139" s="1035">
        <f t="shared" si="60"/>
        <v>2913.2353102134407</v>
      </c>
      <c r="I139" s="1035">
        <f t="shared" si="60"/>
        <v>2918.807593724184</v>
      </c>
      <c r="J139" s="1035">
        <f t="shared" si="60"/>
        <v>2867.0328134352358</v>
      </c>
      <c r="K139" s="1035">
        <f t="shared" si="60"/>
        <v>2813.6090497904033</v>
      </c>
      <c r="L139" s="1035">
        <f t="shared" si="60"/>
        <v>2758.7348118246728</v>
      </c>
      <c r="M139" s="1035">
        <f t="shared" si="60"/>
        <v>2702.316500176201</v>
      </c>
      <c r="N139" s="1035">
        <f t="shared" si="60"/>
        <v>2644.437039525896</v>
      </c>
      <c r="O139" s="1036">
        <f t="shared" si="60"/>
        <v>2585.2212656088755</v>
      </c>
    </row>
    <row r="140" spans="1:15" ht="15">
      <c r="A140" s="632"/>
      <c r="B140" s="263"/>
      <c r="C140" s="31"/>
      <c r="D140" s="31"/>
      <c r="E140" s="31"/>
      <c r="F140" s="31"/>
      <c r="G140" s="31"/>
      <c r="H140" s="31"/>
      <c r="I140" s="31"/>
      <c r="J140" s="31"/>
      <c r="K140" s="31"/>
      <c r="L140" s="31"/>
      <c r="M140" s="31"/>
      <c r="N140" s="31"/>
      <c r="O140" s="900"/>
    </row>
    <row r="141" spans="1:15" ht="15">
      <c r="A141" s="986" t="s">
        <v>578</v>
      </c>
      <c r="B141" s="263"/>
      <c r="C141" s="31"/>
      <c r="D141" s="31"/>
      <c r="E141" s="31"/>
      <c r="F141" s="31"/>
      <c r="G141" s="31"/>
      <c r="H141" s="31"/>
      <c r="I141" s="31"/>
      <c r="J141" s="31"/>
      <c r="K141" s="31"/>
      <c r="L141" s="31"/>
      <c r="M141" s="31"/>
      <c r="N141" s="31"/>
      <c r="O141" s="900"/>
    </row>
    <row r="142" spans="1:16" ht="15">
      <c r="A142" s="904" t="s">
        <v>579</v>
      </c>
      <c r="B142" s="606">
        <f aca="true" t="shared" si="61" ref="B142:O142">B107*13%</f>
        <v>1330.63554</v>
      </c>
      <c r="C142" s="607">
        <f t="shared" si="61"/>
        <v>1531.8022431379143</v>
      </c>
      <c r="D142" s="607">
        <f t="shared" si="61"/>
        <v>1642.0073671086348</v>
      </c>
      <c r="E142" s="607">
        <f t="shared" si="61"/>
        <v>1752.212491079355</v>
      </c>
      <c r="F142" s="607">
        <f t="shared" si="61"/>
        <v>1862.4176150500753</v>
      </c>
      <c r="G142" s="607">
        <f t="shared" si="61"/>
        <v>1972.6227390207957</v>
      </c>
      <c r="H142" s="607">
        <f t="shared" si="61"/>
        <v>2082.827862991516</v>
      </c>
      <c r="I142" s="607">
        <f t="shared" si="61"/>
        <v>2133.7752613994644</v>
      </c>
      <c r="J142" s="607">
        <f t="shared" si="61"/>
        <v>2144.1801902280486</v>
      </c>
      <c r="K142" s="607">
        <f t="shared" si="61"/>
        <v>2153.8132211745833</v>
      </c>
      <c r="L142" s="607">
        <f t="shared" si="61"/>
        <v>2162.7740923231386</v>
      </c>
      <c r="M142" s="607">
        <f t="shared" si="61"/>
        <v>2170.937739605155</v>
      </c>
      <c r="N142" s="607">
        <f t="shared" si="61"/>
        <v>2178.311822088523</v>
      </c>
      <c r="O142" s="908">
        <f t="shared" si="61"/>
        <v>2184.9402177221737</v>
      </c>
      <c r="P142" s="909" t="s">
        <v>589</v>
      </c>
    </row>
    <row r="143" spans="1:15" ht="15">
      <c r="A143" s="986"/>
      <c r="B143" s="263"/>
      <c r="C143" s="31"/>
      <c r="D143" s="31"/>
      <c r="E143" s="31"/>
      <c r="F143" s="31"/>
      <c r="G143" s="31"/>
      <c r="H143" s="31"/>
      <c r="I143" s="31"/>
      <c r="J143" s="31"/>
      <c r="K143" s="31"/>
      <c r="L143" s="31"/>
      <c r="M143" s="31"/>
      <c r="N143" s="31"/>
      <c r="O143" s="900"/>
    </row>
    <row r="144" spans="1:15" ht="15">
      <c r="A144" s="655" t="s">
        <v>580</v>
      </c>
      <c r="B144" s="263"/>
      <c r="C144" s="31"/>
      <c r="D144" s="31"/>
      <c r="E144" s="31"/>
      <c r="F144" s="31"/>
      <c r="G144" s="31"/>
      <c r="H144" s="31"/>
      <c r="I144" s="31"/>
      <c r="J144" s="31"/>
      <c r="K144" s="31"/>
      <c r="L144" s="31"/>
      <c r="M144" s="31"/>
      <c r="N144" s="31"/>
      <c r="O144" s="900"/>
    </row>
    <row r="145" spans="1:15" ht="15">
      <c r="A145" s="632" t="s">
        <v>566</v>
      </c>
      <c r="B145" s="263">
        <f>((B142*Calculations!L129)*(Calculations!L172+Calculations!L173))+(B142*Calculations!L130)+(B142*Calculations!L131)</f>
        <v>982.3377591697677</v>
      </c>
      <c r="C145" s="31">
        <f>((C142*Calculations!M129)*(Calculations!M172+Calculations!M173))+(C142*Calculations!M130)+(C142*Calculations!M131)</f>
        <v>1139.9128972647613</v>
      </c>
      <c r="D145" s="31">
        <f>((D142*Calculations!N129)*(Calculations!N172+Calculations!N173))+(D142*Calculations!N130)+(D142*Calculations!N131)</f>
        <v>1231.6404434075766</v>
      </c>
      <c r="E145" s="31">
        <f>((E142*Calculations!O129)*(Calculations!O172+Calculations!O173))+(E142*Calculations!O130)+(E142*Calculations!O131)</f>
        <v>1324.6721314047027</v>
      </c>
      <c r="F145" s="31">
        <f>((F142*Calculations!P129)*(Calculations!P172+Calculations!P173))+(F142*Calculations!P130)+(F142*Calculations!P131)</f>
        <v>1419.0079587960822</v>
      </c>
      <c r="G145" s="31">
        <f>((G142*Calculations!Q129)*(Calculations!Q172+Calculations!Q173))+(G142*Calculations!Q130)+(G142*Calculations!Q131)</f>
        <v>1514.6483076749519</v>
      </c>
      <c r="H145" s="31">
        <f>((H142*Calculations!R129)*(Calculations!R172+Calculations!R173))+(H142*Calculations!R130)+(H142*Calculations!R131)</f>
        <v>1611.639546494459</v>
      </c>
      <c r="I145" s="31">
        <f>((I142*Calculations!S129)*(Calculations!S172+Calculations!S173))+(I142*Calculations!S130)+(I142*Calculations!S131)</f>
        <v>1663.729792536752</v>
      </c>
      <c r="J145" s="31">
        <f>((J142*Calculations!T129)*(Calculations!T172+Calculations!T173))+(J142*Calculations!T130)+(J142*Calculations!T131)</f>
        <v>1684.5653032237913</v>
      </c>
      <c r="K145" s="31">
        <f>((K142*Calculations!U129)*(Calculations!U172+Calculations!U173))+(K142*Calculations!U130)+(K142*Calculations!U131)</f>
        <v>1704.9056913053525</v>
      </c>
      <c r="L145" s="31">
        <f>((L142*Calculations!V129)*(Calculations!V172+Calculations!V173))+(L142*Calculations!V130)+(L142*Calculations!V131)</f>
        <v>1724.8166641758876</v>
      </c>
      <c r="M145" s="31">
        <f>((M142*Calculations!W129)*(Calculations!W172+Calculations!W173))+(M142*Calculations!W130)+(M142*Calculations!W131)</f>
        <v>1744.1856968610264</v>
      </c>
      <c r="N145" s="31">
        <f>((N142*Calculations!X129)*(Calculations!X172+Calculations!X173))+(N142*Calculations!X130)+(N142*Calculations!X131)</f>
        <v>1763.0047360585609</v>
      </c>
      <c r="O145" s="900">
        <f>((O142*Calculations!Y129)*(Calculations!Y172+Calculations!Y173))+(O142*Calculations!Y130)+(O142*Calculations!Y131)</f>
        <v>1781.295454370288</v>
      </c>
    </row>
    <row r="146" spans="1:15" ht="15">
      <c r="A146" s="632" t="s">
        <v>70</v>
      </c>
      <c r="B146" s="263">
        <f>B145*B109</f>
        <v>0</v>
      </c>
      <c r="C146" s="31">
        <f aca="true" t="shared" si="62" ref="C146:O146">C145*C109</f>
        <v>0</v>
      </c>
      <c r="D146" s="31">
        <f t="shared" si="62"/>
        <v>1231.6404434075766</v>
      </c>
      <c r="E146" s="31">
        <f t="shared" si="62"/>
        <v>1324.6721314047027</v>
      </c>
      <c r="F146" s="31">
        <f t="shared" si="62"/>
        <v>1419.0079587960822</v>
      </c>
      <c r="G146" s="31">
        <f t="shared" si="62"/>
        <v>1514.6483076749519</v>
      </c>
      <c r="H146" s="31">
        <f t="shared" si="62"/>
        <v>1611.639546494459</v>
      </c>
      <c r="I146" s="31">
        <f t="shared" si="62"/>
        <v>1663.729792536752</v>
      </c>
      <c r="J146" s="31">
        <f t="shared" si="62"/>
        <v>1684.5653032237913</v>
      </c>
      <c r="K146" s="31">
        <f t="shared" si="62"/>
        <v>1704.9056913053525</v>
      </c>
      <c r="L146" s="31">
        <f t="shared" si="62"/>
        <v>1724.8166641758876</v>
      </c>
      <c r="M146" s="31">
        <f t="shared" si="62"/>
        <v>1744.1856968610264</v>
      </c>
      <c r="N146" s="31">
        <f t="shared" si="62"/>
        <v>1763.0047360585609</v>
      </c>
      <c r="O146" s="900">
        <f t="shared" si="62"/>
        <v>1781.295454370288</v>
      </c>
    </row>
    <row r="147" spans="1:15" ht="15">
      <c r="A147" s="632" t="s">
        <v>614</v>
      </c>
      <c r="B147" s="263">
        <f>H104*10</f>
        <v>3600</v>
      </c>
      <c r="C147" s="31">
        <f aca="true" t="shared" si="63" ref="C147:I147">B147</f>
        <v>3600</v>
      </c>
      <c r="D147" s="31">
        <f t="shared" si="63"/>
        <v>3600</v>
      </c>
      <c r="E147" s="31">
        <f t="shared" si="63"/>
        <v>3600</v>
      </c>
      <c r="F147" s="31">
        <f t="shared" si="63"/>
        <v>3600</v>
      </c>
      <c r="G147" s="31">
        <f t="shared" si="63"/>
        <v>3600</v>
      </c>
      <c r="H147" s="31">
        <f t="shared" si="63"/>
        <v>3600</v>
      </c>
      <c r="I147" s="31">
        <f t="shared" si="63"/>
        <v>3600</v>
      </c>
      <c r="J147" s="31">
        <f aca="true" t="shared" si="64" ref="J147:O148">I147</f>
        <v>3600</v>
      </c>
      <c r="K147" s="31">
        <f t="shared" si="64"/>
        <v>3600</v>
      </c>
      <c r="L147" s="31">
        <f t="shared" si="64"/>
        <v>3600</v>
      </c>
      <c r="M147" s="31">
        <f t="shared" si="64"/>
        <v>3600</v>
      </c>
      <c r="N147" s="31">
        <f t="shared" si="64"/>
        <v>3600</v>
      </c>
      <c r="O147" s="900">
        <f t="shared" si="64"/>
        <v>3600</v>
      </c>
    </row>
    <row r="148" spans="1:15" ht="15">
      <c r="A148" s="632" t="s">
        <v>615</v>
      </c>
      <c r="B148" s="263">
        <v>0</v>
      </c>
      <c r="C148" s="31">
        <f>B148</f>
        <v>0</v>
      </c>
      <c r="D148" s="31">
        <f aca="true" t="shared" si="65" ref="D148:I148">C148</f>
        <v>0</v>
      </c>
      <c r="E148" s="31">
        <f t="shared" si="65"/>
        <v>0</v>
      </c>
      <c r="F148" s="31">
        <f t="shared" si="65"/>
        <v>0</v>
      </c>
      <c r="G148" s="31">
        <f t="shared" si="65"/>
        <v>0</v>
      </c>
      <c r="H148" s="31">
        <f t="shared" si="65"/>
        <v>0</v>
      </c>
      <c r="I148" s="31">
        <f t="shared" si="65"/>
        <v>0</v>
      </c>
      <c r="J148" s="31">
        <f t="shared" si="64"/>
        <v>0</v>
      </c>
      <c r="K148" s="31">
        <f t="shared" si="64"/>
        <v>0</v>
      </c>
      <c r="L148" s="31">
        <f t="shared" si="64"/>
        <v>0</v>
      </c>
      <c r="M148" s="31">
        <f t="shared" si="64"/>
        <v>0</v>
      </c>
      <c r="N148" s="31">
        <f t="shared" si="64"/>
        <v>0</v>
      </c>
      <c r="O148" s="900">
        <f t="shared" si="64"/>
        <v>0</v>
      </c>
    </row>
    <row r="149" spans="1:15" ht="15">
      <c r="A149" s="1038" t="s">
        <v>616</v>
      </c>
      <c r="B149" s="263">
        <f>B147-B148</f>
        <v>3600</v>
      </c>
      <c r="C149" s="31">
        <f aca="true" t="shared" si="66" ref="C149:O149">C147-C148</f>
        <v>3600</v>
      </c>
      <c r="D149" s="31">
        <f t="shared" si="66"/>
        <v>3600</v>
      </c>
      <c r="E149" s="31">
        <f t="shared" si="66"/>
        <v>3600</v>
      </c>
      <c r="F149" s="31">
        <f t="shared" si="66"/>
        <v>3600</v>
      </c>
      <c r="G149" s="31">
        <f t="shared" si="66"/>
        <v>3600</v>
      </c>
      <c r="H149" s="31">
        <f t="shared" si="66"/>
        <v>3600</v>
      </c>
      <c r="I149" s="31">
        <f t="shared" si="66"/>
        <v>3600</v>
      </c>
      <c r="J149" s="31">
        <f t="shared" si="66"/>
        <v>3600</v>
      </c>
      <c r="K149" s="31">
        <f t="shared" si="66"/>
        <v>3600</v>
      </c>
      <c r="L149" s="31">
        <f t="shared" si="66"/>
        <v>3600</v>
      </c>
      <c r="M149" s="31">
        <f t="shared" si="66"/>
        <v>3600</v>
      </c>
      <c r="N149" s="31">
        <f t="shared" si="66"/>
        <v>3600</v>
      </c>
      <c r="O149" s="900">
        <f t="shared" si="66"/>
        <v>3600</v>
      </c>
    </row>
    <row r="150" spans="1:15" ht="15">
      <c r="A150" s="632"/>
      <c r="B150" s="263"/>
      <c r="C150" s="31"/>
      <c r="D150" s="31"/>
      <c r="E150" s="31"/>
      <c r="F150" s="31"/>
      <c r="G150" s="31"/>
      <c r="H150" s="31"/>
      <c r="I150" s="31"/>
      <c r="J150" s="31"/>
      <c r="K150" s="31"/>
      <c r="L150" s="31"/>
      <c r="M150" s="31"/>
      <c r="N150" s="31"/>
      <c r="O150" s="900"/>
    </row>
    <row r="151" spans="1:15" s="1037" customFormat="1" ht="15">
      <c r="A151" s="987" t="s">
        <v>617</v>
      </c>
      <c r="B151" s="1034">
        <f>(B146*B149)/1000</f>
        <v>0</v>
      </c>
      <c r="C151" s="1035">
        <f aca="true" t="shared" si="67" ref="C151:O151">(C146*C149)/1000</f>
        <v>0</v>
      </c>
      <c r="D151" s="1035">
        <f t="shared" si="67"/>
        <v>4433.9055962672755</v>
      </c>
      <c r="E151" s="1035">
        <f t="shared" si="67"/>
        <v>4768.81967305693</v>
      </c>
      <c r="F151" s="1035">
        <f t="shared" si="67"/>
        <v>5108.428651665896</v>
      </c>
      <c r="G151" s="1035">
        <f t="shared" si="67"/>
        <v>5452.733907629827</v>
      </c>
      <c r="H151" s="1035">
        <f t="shared" si="67"/>
        <v>5801.902367380052</v>
      </c>
      <c r="I151" s="1035">
        <f t="shared" si="67"/>
        <v>5989.427253132307</v>
      </c>
      <c r="J151" s="1035">
        <f t="shared" si="67"/>
        <v>6064.435091605648</v>
      </c>
      <c r="K151" s="1035">
        <f t="shared" si="67"/>
        <v>6137.660488699269</v>
      </c>
      <c r="L151" s="1035">
        <f t="shared" si="67"/>
        <v>6209.3399910331955</v>
      </c>
      <c r="M151" s="1035">
        <f t="shared" si="67"/>
        <v>6279.068508699695</v>
      </c>
      <c r="N151" s="1035">
        <f t="shared" si="67"/>
        <v>6346.817049810819</v>
      </c>
      <c r="O151" s="1036">
        <f t="shared" si="67"/>
        <v>6412.663635733037</v>
      </c>
    </row>
    <row r="152" spans="1:15" ht="15">
      <c r="A152" s="632"/>
      <c r="B152" s="263"/>
      <c r="C152" s="31"/>
      <c r="D152" s="31"/>
      <c r="E152" s="31"/>
      <c r="F152" s="31"/>
      <c r="G152" s="31"/>
      <c r="H152" s="31"/>
      <c r="I152" s="31"/>
      <c r="J152" s="31"/>
      <c r="K152" s="31"/>
      <c r="L152" s="31"/>
      <c r="M152" s="31"/>
      <c r="N152" s="31"/>
      <c r="O152" s="900"/>
    </row>
    <row r="153" spans="1:15" ht="15">
      <c r="A153" s="655" t="s">
        <v>581</v>
      </c>
      <c r="B153" s="263"/>
      <c r="C153" s="31"/>
      <c r="D153" s="31"/>
      <c r="E153" s="31"/>
      <c r="F153" s="31"/>
      <c r="G153" s="31"/>
      <c r="H153" s="31"/>
      <c r="I153" s="31"/>
      <c r="J153" s="31"/>
      <c r="K153" s="31"/>
      <c r="L153" s="31"/>
      <c r="M153" s="31"/>
      <c r="N153" s="31"/>
      <c r="O153" s="900"/>
    </row>
    <row r="154" spans="1:15" ht="15">
      <c r="A154" s="632" t="s">
        <v>565</v>
      </c>
      <c r="B154" s="31">
        <f>(B142*Calculations!L132)</f>
        <v>314.82836876399995</v>
      </c>
      <c r="C154" s="31">
        <f>(C142*Calculations!M132)</f>
        <v>355.3781204079961</v>
      </c>
      <c r="D154" s="31">
        <f>(D142*Calculations!N132)</f>
        <v>373.3924752805035</v>
      </c>
      <c r="E154" s="31">
        <f>(E142*Calculations!O132)</f>
        <v>390.39294301248026</v>
      </c>
      <c r="F154" s="31">
        <f>(F142*Calculations!P132)</f>
        <v>406.3795236039264</v>
      </c>
      <c r="G154" s="31">
        <f>(G142*Calculations!Q132)</f>
        <v>421.35221705484196</v>
      </c>
      <c r="H154" s="31">
        <f>(H142*Calculations!R132)</f>
        <v>435.3110233652268</v>
      </c>
      <c r="I154" s="31">
        <f>(I142*Calculations!S132)</f>
        <v>436.1436634300505</v>
      </c>
      <c r="J154" s="31">
        <f>(J142*Calculations!T132)</f>
        <v>428.4072020075641</v>
      </c>
      <c r="K154" s="31">
        <f>(K142*Calculations!U132)</f>
        <v>420.42434077327863</v>
      </c>
      <c r="L154" s="31">
        <f>(L142*Calculations!V132)</f>
        <v>412.2247419967902</v>
      </c>
      <c r="M154" s="31">
        <f>(M142*Calculations!W132)</f>
        <v>403.79441956655876</v>
      </c>
      <c r="N154" s="31">
        <f>(N142*Calculations!X132)</f>
        <v>395.14576452685804</v>
      </c>
      <c r="O154" s="900">
        <f>(O142*Calculations!Y132)</f>
        <v>386.2974304932803</v>
      </c>
    </row>
    <row r="155" spans="1:15" ht="15">
      <c r="A155" s="632" t="s">
        <v>70</v>
      </c>
      <c r="B155" s="31">
        <f aca="true" t="shared" si="68" ref="B155:O155">B154*B109</f>
        <v>0</v>
      </c>
      <c r="C155" s="31">
        <f t="shared" si="68"/>
        <v>0</v>
      </c>
      <c r="D155" s="31">
        <f t="shared" si="68"/>
        <v>373.3924752805035</v>
      </c>
      <c r="E155" s="31">
        <f t="shared" si="68"/>
        <v>390.39294301248026</v>
      </c>
      <c r="F155" s="31">
        <f t="shared" si="68"/>
        <v>406.3795236039264</v>
      </c>
      <c r="G155" s="31">
        <f t="shared" si="68"/>
        <v>421.35221705484196</v>
      </c>
      <c r="H155" s="31">
        <f t="shared" si="68"/>
        <v>435.3110233652268</v>
      </c>
      <c r="I155" s="31">
        <f t="shared" si="68"/>
        <v>436.1436634300505</v>
      </c>
      <c r="J155" s="31">
        <f t="shared" si="68"/>
        <v>428.4072020075641</v>
      </c>
      <c r="K155" s="31">
        <f t="shared" si="68"/>
        <v>420.42434077327863</v>
      </c>
      <c r="L155" s="31">
        <f t="shared" si="68"/>
        <v>412.2247419967902</v>
      </c>
      <c r="M155" s="31">
        <f t="shared" si="68"/>
        <v>403.79441956655876</v>
      </c>
      <c r="N155" s="31">
        <f t="shared" si="68"/>
        <v>395.14576452685804</v>
      </c>
      <c r="O155" s="900">
        <f t="shared" si="68"/>
        <v>386.2974304932803</v>
      </c>
    </row>
    <row r="156" spans="1:15" ht="15">
      <c r="A156" s="632" t="s">
        <v>614</v>
      </c>
      <c r="B156" s="31">
        <f>($M$104*10)</f>
        <v>6000</v>
      </c>
      <c r="C156" s="31">
        <f aca="true" t="shared" si="69" ref="C156:O156">B156</f>
        <v>6000</v>
      </c>
      <c r="D156" s="31">
        <f t="shared" si="69"/>
        <v>6000</v>
      </c>
      <c r="E156" s="31">
        <f t="shared" si="69"/>
        <v>6000</v>
      </c>
      <c r="F156" s="31">
        <f t="shared" si="69"/>
        <v>6000</v>
      </c>
      <c r="G156" s="31">
        <f t="shared" si="69"/>
        <v>6000</v>
      </c>
      <c r="H156" s="31">
        <f t="shared" si="69"/>
        <v>6000</v>
      </c>
      <c r="I156" s="31">
        <f t="shared" si="69"/>
        <v>6000</v>
      </c>
      <c r="J156" s="31">
        <f t="shared" si="69"/>
        <v>6000</v>
      </c>
      <c r="K156" s="31">
        <f t="shared" si="69"/>
        <v>6000</v>
      </c>
      <c r="L156" s="31">
        <f t="shared" si="69"/>
        <v>6000</v>
      </c>
      <c r="M156" s="31">
        <f t="shared" si="69"/>
        <v>6000</v>
      </c>
      <c r="N156" s="31">
        <f t="shared" si="69"/>
        <v>6000</v>
      </c>
      <c r="O156" s="900">
        <f t="shared" si="69"/>
        <v>6000</v>
      </c>
    </row>
    <row r="157" spans="1:15" ht="15">
      <c r="A157" s="632" t="s">
        <v>615</v>
      </c>
      <c r="B157" s="31">
        <v>0</v>
      </c>
      <c r="C157" s="31">
        <v>0</v>
      </c>
      <c r="D157" s="31">
        <v>0</v>
      </c>
      <c r="E157" s="31">
        <v>0</v>
      </c>
      <c r="F157" s="31">
        <v>0</v>
      </c>
      <c r="G157" s="31">
        <v>0</v>
      </c>
      <c r="H157" s="31">
        <v>0</v>
      </c>
      <c r="I157" s="31">
        <v>0</v>
      </c>
      <c r="J157" s="31">
        <v>0</v>
      </c>
      <c r="K157" s="31">
        <v>0</v>
      </c>
      <c r="L157" s="31">
        <v>0</v>
      </c>
      <c r="M157" s="31">
        <v>0</v>
      </c>
      <c r="N157" s="31">
        <v>0</v>
      </c>
      <c r="O157" s="900">
        <v>0</v>
      </c>
    </row>
    <row r="158" spans="1:15" ht="15">
      <c r="A158" s="1038" t="s">
        <v>616</v>
      </c>
      <c r="B158" s="31">
        <f>B156-B157</f>
        <v>6000</v>
      </c>
      <c r="C158" s="31">
        <f aca="true" t="shared" si="70" ref="C158:O158">C156-C157</f>
        <v>6000</v>
      </c>
      <c r="D158" s="31">
        <f t="shared" si="70"/>
        <v>6000</v>
      </c>
      <c r="E158" s="31">
        <f t="shared" si="70"/>
        <v>6000</v>
      </c>
      <c r="F158" s="31">
        <f t="shared" si="70"/>
        <v>6000</v>
      </c>
      <c r="G158" s="31">
        <f t="shared" si="70"/>
        <v>6000</v>
      </c>
      <c r="H158" s="31">
        <f t="shared" si="70"/>
        <v>6000</v>
      </c>
      <c r="I158" s="31">
        <f t="shared" si="70"/>
        <v>6000</v>
      </c>
      <c r="J158" s="31">
        <f t="shared" si="70"/>
        <v>6000</v>
      </c>
      <c r="K158" s="31">
        <f t="shared" si="70"/>
        <v>6000</v>
      </c>
      <c r="L158" s="31">
        <f t="shared" si="70"/>
        <v>6000</v>
      </c>
      <c r="M158" s="31">
        <f t="shared" si="70"/>
        <v>6000</v>
      </c>
      <c r="N158" s="31">
        <f t="shared" si="70"/>
        <v>6000</v>
      </c>
      <c r="O158" s="900">
        <f t="shared" si="70"/>
        <v>6000</v>
      </c>
    </row>
    <row r="159" spans="1:15" ht="15">
      <c r="A159" s="632"/>
      <c r="B159" s="31"/>
      <c r="C159" s="31"/>
      <c r="D159" s="31"/>
      <c r="E159" s="31"/>
      <c r="F159" s="31"/>
      <c r="G159" s="31"/>
      <c r="H159" s="31"/>
      <c r="I159" s="31"/>
      <c r="J159" s="31"/>
      <c r="K159" s="31"/>
      <c r="L159" s="31"/>
      <c r="M159" s="31"/>
      <c r="N159" s="31"/>
      <c r="O159" s="900"/>
    </row>
    <row r="160" spans="1:15" ht="15">
      <c r="A160" s="987" t="s">
        <v>617</v>
      </c>
      <c r="B160" s="1035">
        <f aca="true" t="shared" si="71" ref="B160:O160">(B155*B158)/1000</f>
        <v>0</v>
      </c>
      <c r="C160" s="1035">
        <f t="shared" si="71"/>
        <v>0</v>
      </c>
      <c r="D160" s="1035">
        <f t="shared" si="71"/>
        <v>2240.354851683021</v>
      </c>
      <c r="E160" s="1035">
        <f t="shared" si="71"/>
        <v>2342.3576580748813</v>
      </c>
      <c r="F160" s="1035">
        <f t="shared" si="71"/>
        <v>2438.2771416235582</v>
      </c>
      <c r="G160" s="1035">
        <f t="shared" si="71"/>
        <v>2528.1133023290517</v>
      </c>
      <c r="H160" s="1035">
        <f t="shared" si="71"/>
        <v>2611.866140191361</v>
      </c>
      <c r="I160" s="1035">
        <f t="shared" si="71"/>
        <v>2616.8619805803028</v>
      </c>
      <c r="J160" s="1035">
        <f t="shared" si="71"/>
        <v>2570.4432120453844</v>
      </c>
      <c r="K160" s="1035">
        <f t="shared" si="71"/>
        <v>2522.546044639672</v>
      </c>
      <c r="L160" s="1035">
        <f t="shared" si="71"/>
        <v>2473.348451980741</v>
      </c>
      <c r="M160" s="1035">
        <f t="shared" si="71"/>
        <v>2422.7665173993523</v>
      </c>
      <c r="N160" s="1035">
        <f t="shared" si="71"/>
        <v>2370.8745871611486</v>
      </c>
      <c r="O160" s="1036">
        <f t="shared" si="71"/>
        <v>2317.7845829596818</v>
      </c>
    </row>
    <row r="161" spans="1:15" ht="15">
      <c r="A161" s="632"/>
      <c r="B161" s="21"/>
      <c r="O161" s="907"/>
    </row>
    <row r="162" spans="1:15" ht="15">
      <c r="A162" s="987" t="s">
        <v>582</v>
      </c>
      <c r="B162" s="31">
        <f>(B160+B151+B139+B130+B118)</f>
        <v>0</v>
      </c>
      <c r="C162" s="31">
        <f aca="true" t="shared" si="72" ref="C162:O162">(C160+C151+C139+C130+C118)</f>
        <v>0</v>
      </c>
      <c r="D162" s="31">
        <f t="shared" si="72"/>
        <v>20152.94787066409</v>
      </c>
      <c r="E162" s="31">
        <f t="shared" si="72"/>
        <v>21482.19512354806</v>
      </c>
      <c r="F162" s="31">
        <f t="shared" si="72"/>
        <v>22808.505331958462</v>
      </c>
      <c r="G162" s="31">
        <f t="shared" si="72"/>
        <v>24131.88140568224</v>
      </c>
      <c r="H162" s="31">
        <f t="shared" si="72"/>
        <v>25452.67645832414</v>
      </c>
      <c r="I162" s="31">
        <f t="shared" si="72"/>
        <v>26047.161758827213</v>
      </c>
      <c r="J162" s="31">
        <f t="shared" si="72"/>
        <v>26145.87638932583</v>
      </c>
      <c r="K162" s="31">
        <f t="shared" si="72"/>
        <v>26234.856390638954</v>
      </c>
      <c r="L162" s="31">
        <f t="shared" si="72"/>
        <v>26315.345166492163</v>
      </c>
      <c r="M162" s="31">
        <f t="shared" si="72"/>
        <v>26385.848673790824</v>
      </c>
      <c r="N162" s="31">
        <f t="shared" si="72"/>
        <v>26446.49100129602</v>
      </c>
      <c r="O162" s="900">
        <f t="shared" si="72"/>
        <v>26497.835201571914</v>
      </c>
    </row>
    <row r="163" spans="1:15" ht="15">
      <c r="A163" s="632"/>
      <c r="B163" s="263"/>
      <c r="C163" s="31"/>
      <c r="D163" s="31"/>
      <c r="E163" s="31"/>
      <c r="F163" s="31"/>
      <c r="G163" s="31"/>
      <c r="H163" s="31"/>
      <c r="I163" s="31"/>
      <c r="J163" s="31"/>
      <c r="K163" s="31"/>
      <c r="L163" s="31"/>
      <c r="M163" s="31"/>
      <c r="N163" s="31"/>
      <c r="O163" s="900"/>
    </row>
    <row r="164" spans="1:15" ht="15">
      <c r="A164" s="632" t="s">
        <v>86</v>
      </c>
      <c r="B164" s="31">
        <f aca="true" t="shared" si="73" ref="B164:I164">7%*B162</f>
        <v>0</v>
      </c>
      <c r="C164" s="31">
        <f t="shared" si="73"/>
        <v>0</v>
      </c>
      <c r="D164" s="31">
        <f>7%*D162</f>
        <v>1410.7063509464865</v>
      </c>
      <c r="E164" s="31">
        <f t="shared" si="73"/>
        <v>1503.7536586483643</v>
      </c>
      <c r="F164" s="31">
        <f t="shared" si="73"/>
        <v>1596.5953732370924</v>
      </c>
      <c r="G164" s="31">
        <f t="shared" si="73"/>
        <v>1689.231698397757</v>
      </c>
      <c r="H164" s="31">
        <f t="shared" si="73"/>
        <v>1781.6873520826898</v>
      </c>
      <c r="I164" s="31">
        <f t="shared" si="73"/>
        <v>1823.301323117905</v>
      </c>
      <c r="J164" s="31">
        <f aca="true" t="shared" si="74" ref="J164:N164">7%*J162</f>
        <v>1830.2113472528083</v>
      </c>
      <c r="K164" s="31">
        <f t="shared" si="74"/>
        <v>1836.439947344727</v>
      </c>
      <c r="L164" s="31">
        <f t="shared" si="74"/>
        <v>1842.0741616544517</v>
      </c>
      <c r="M164" s="31">
        <f t="shared" si="74"/>
        <v>1847.009407165358</v>
      </c>
      <c r="N164" s="31">
        <f t="shared" si="74"/>
        <v>1851.2543700907215</v>
      </c>
      <c r="O164" s="900">
        <f>7%*O162</f>
        <v>1854.8484641100342</v>
      </c>
    </row>
    <row r="165" spans="1:15" ht="15">
      <c r="A165" s="632"/>
      <c r="B165" s="454"/>
      <c r="C165" s="41"/>
      <c r="D165" s="41"/>
      <c r="E165" s="41"/>
      <c r="F165" s="41"/>
      <c r="G165" s="41"/>
      <c r="H165" s="41"/>
      <c r="I165" s="41"/>
      <c r="J165" s="41"/>
      <c r="K165" s="41"/>
      <c r="L165" s="41"/>
      <c r="M165" s="41"/>
      <c r="N165" s="41"/>
      <c r="O165" s="905"/>
    </row>
    <row r="166" spans="1:15" ht="15">
      <c r="A166" s="633" t="s">
        <v>88</v>
      </c>
      <c r="B166" s="45">
        <f>B162+B164</f>
        <v>0</v>
      </c>
      <c r="C166" s="45">
        <f aca="true" t="shared" si="75" ref="C166:H166">C162+C164</f>
        <v>0</v>
      </c>
      <c r="D166" s="45">
        <f t="shared" si="75"/>
        <v>21563.654221610577</v>
      </c>
      <c r="E166" s="45">
        <f t="shared" si="75"/>
        <v>22985.948782196425</v>
      </c>
      <c r="F166" s="45">
        <f t="shared" si="75"/>
        <v>24405.100705195553</v>
      </c>
      <c r="G166" s="45">
        <f t="shared" si="75"/>
        <v>25821.11310408</v>
      </c>
      <c r="H166" s="45">
        <f t="shared" si="75"/>
        <v>27234.363810406827</v>
      </c>
      <c r="I166" s="45">
        <f>I162+I164</f>
        <v>27870.46308194512</v>
      </c>
      <c r="J166" s="45">
        <f aca="true" t="shared" si="76" ref="J166:N166">J162+J164</f>
        <v>27976.087736578636</v>
      </c>
      <c r="K166" s="45">
        <f t="shared" si="76"/>
        <v>28071.29633798368</v>
      </c>
      <c r="L166" s="45">
        <f t="shared" si="76"/>
        <v>28157.419328146614</v>
      </c>
      <c r="M166" s="45">
        <f t="shared" si="76"/>
        <v>28232.858080956183</v>
      </c>
      <c r="N166" s="45">
        <f t="shared" si="76"/>
        <v>28297.745371386743</v>
      </c>
      <c r="O166" s="874">
        <f>O162+O164</f>
        <v>28352.683665681947</v>
      </c>
    </row>
    <row r="167" spans="1:15" ht="15">
      <c r="A167" s="633" t="s">
        <v>69</v>
      </c>
      <c r="B167" s="271">
        <f>B166/(ECO!L$66*1000)</f>
        <v>0</v>
      </c>
      <c r="C167" s="271">
        <f>C166/(ECO!M$66*1000)</f>
        <v>0</v>
      </c>
      <c r="D167" s="271">
        <f>D166/(ECO!N$66*1000)</f>
        <v>0.0013011385218005488</v>
      </c>
      <c r="E167" s="271">
        <f>E166/(ECO!O$66*1000)</f>
        <v>0.001260605916042144</v>
      </c>
      <c r="F167" s="271">
        <f>F166/(ECO!P$66*1000)</f>
        <v>0.001217642097083646</v>
      </c>
      <c r="G167" s="271">
        <f>G166/(ECO!Q$66*1000)</f>
        <v>0.0011733739351115831</v>
      </c>
      <c r="H167" s="271">
        <f>H166/(ECO!R$66*1000)</f>
        <v>0.0011675428971949988</v>
      </c>
      <c r="I167" s="271">
        <f>I166/(ECO!S$66*1000)</f>
        <v>0.0011271817043207635</v>
      </c>
      <c r="J167" s="271">
        <f>J166/(ECO!T$66*1000)</f>
        <v>0.0010674090047266445</v>
      </c>
      <c r="K167" s="271">
        <f>K166/(ECO!U$66*1000)</f>
        <v>0.0010104166278638448</v>
      </c>
      <c r="L167" s="271">
        <f>L166/(ECO!V$66*1000)</f>
        <v>0.0009561477313063271</v>
      </c>
      <c r="M167" s="271">
        <f>M166/(ECO!W$66*1000)</f>
        <v>0.0009044428507189402</v>
      </c>
      <c r="N167" s="271">
        <f>N166/(ECO!X$66*1000)</f>
        <v>0.0008552089835086399</v>
      </c>
      <c r="O167" s="968">
        <f>O166/(ECO!Y$66*1000)</f>
        <v>0.000808367281137145</v>
      </c>
    </row>
    <row r="168" spans="1:15" ht="15">
      <c r="A168" s="634" t="s">
        <v>71</v>
      </c>
      <c r="B168" s="964">
        <f>B166/('GGO (SQ)'!L$24*1000)</f>
        <v>0</v>
      </c>
      <c r="C168" s="964">
        <f>C166/('GGO (SQ)'!M$24*1000)</f>
        <v>0</v>
      </c>
      <c r="D168" s="964">
        <f>D166/('GGO (SQ)'!N$24*1000)</f>
        <v>0.008295532130257197</v>
      </c>
      <c r="E168" s="964">
        <f>E166/('GGO (SQ)'!O$24*1000)</f>
        <v>0.008037112655498583</v>
      </c>
      <c r="F168" s="964">
        <f>F166/('GGO (SQ)'!P$24*1000)</f>
        <v>0.007763192750248549</v>
      </c>
      <c r="G168" s="964">
        <f>G166/('GGO (SQ)'!Q$24*1000)</f>
        <v>0.007480956882326895</v>
      </c>
      <c r="H168" s="964">
        <f>H166/('GGO (SQ)'!R$24*1000)</f>
        <v>0.007443780546695208</v>
      </c>
      <c r="I168" s="964">
        <f>I166/('GGO (SQ)'!S$24*1000)</f>
        <v>0.007186453931047555</v>
      </c>
      <c r="J168" s="964">
        <f>J166/('GGO (SQ)'!T$24*1000)</f>
        <v>0.006805367412058739</v>
      </c>
      <c r="K168" s="964">
        <f>K166/('GGO (SQ)'!U$24*1000)</f>
        <v>0.006442007104509906</v>
      </c>
      <c r="L168" s="964">
        <f>L166/('GGO (SQ)'!V$24*1000)</f>
        <v>0.006096010604119226</v>
      </c>
      <c r="M168" s="964">
        <f>M166/('GGO (SQ)'!W$24*1000)</f>
        <v>0.005766361230883983</v>
      </c>
      <c r="N168" s="964">
        <f>N166/('GGO (SQ)'!X$24*1000)</f>
        <v>0.005452466037945818</v>
      </c>
      <c r="O168" s="971">
        <f>O166/('GGO (SQ)'!Y$24*1000)</f>
        <v>0.0051538223189658</v>
      </c>
    </row>
    <row r="169" spans="1:15" ht="15">
      <c r="A169" s="20"/>
      <c r="C169" s="20"/>
      <c r="D169" s="20"/>
      <c r="E169" s="20"/>
      <c r="F169" s="20"/>
      <c r="G169" s="20"/>
      <c r="H169" s="20"/>
      <c r="I169" s="20"/>
      <c r="J169" s="20"/>
      <c r="K169" s="20"/>
      <c r="L169" s="20"/>
      <c r="M169" s="20"/>
      <c r="N169" s="20"/>
      <c r="O169" s="20"/>
    </row>
    <row r="170" spans="1:15" ht="14.25" customHeight="1">
      <c r="A170" s="1117" t="s">
        <v>584</v>
      </c>
      <c r="B170" s="1118"/>
      <c r="C170" s="1118"/>
      <c r="D170" s="1118"/>
      <c r="E170" s="1118"/>
      <c r="F170" s="1118"/>
      <c r="G170" s="1118"/>
      <c r="H170" s="1118"/>
      <c r="I170" s="1118"/>
      <c r="J170" s="1118"/>
      <c r="K170" s="1118"/>
      <c r="L170" s="1118"/>
      <c r="M170" s="1118"/>
      <c r="N170" s="1118"/>
      <c r="O170" s="1119"/>
    </row>
    <row r="171" spans="1:15" ht="14.25" customHeight="1">
      <c r="A171" s="918" t="s">
        <v>608</v>
      </c>
      <c r="B171" s="639">
        <v>600</v>
      </c>
      <c r="C171" s="1124" t="s">
        <v>609</v>
      </c>
      <c r="D171" s="1124"/>
      <c r="E171" s="1124"/>
      <c r="F171" s="1124"/>
      <c r="G171" s="1124"/>
      <c r="H171" s="639">
        <v>360</v>
      </c>
      <c r="I171" s="1123" t="s">
        <v>610</v>
      </c>
      <c r="J171" s="1123"/>
      <c r="K171" s="1123"/>
      <c r="L171" s="1123"/>
      <c r="M171" s="639">
        <v>600</v>
      </c>
      <c r="N171" s="983"/>
      <c r="O171" s="984"/>
    </row>
    <row r="172" spans="1:16" ht="15" customHeight="1">
      <c r="A172" s="903"/>
      <c r="B172" s="454"/>
      <c r="C172" s="41"/>
      <c r="D172" s="41"/>
      <c r="E172" s="41"/>
      <c r="F172" s="41"/>
      <c r="G172" s="41"/>
      <c r="H172" s="41"/>
      <c r="I172" s="41"/>
      <c r="J172" s="41"/>
      <c r="K172" s="41"/>
      <c r="L172" s="41"/>
      <c r="M172" s="41"/>
      <c r="N172" s="41"/>
      <c r="O172" s="905"/>
      <c r="P172" s="1126"/>
    </row>
    <row r="173" spans="1:16" ht="15">
      <c r="A173" s="903" t="s">
        <v>318</v>
      </c>
      <c r="B173" s="606">
        <f>POP!L105</f>
        <v>4353.597</v>
      </c>
      <c r="C173" s="607">
        <f>POP!M105</f>
        <v>4691.1</v>
      </c>
      <c r="D173" s="607">
        <f>POP!N105</f>
        <v>5028.6</v>
      </c>
      <c r="E173" s="607">
        <f>POP!O105</f>
        <v>5366.1</v>
      </c>
      <c r="F173" s="607">
        <f>POP!P105</f>
        <v>5703.6</v>
      </c>
      <c r="G173" s="607">
        <f>POP!Q105</f>
        <v>6041.1</v>
      </c>
      <c r="H173" s="607">
        <f>POP!R105</f>
        <v>6378.6</v>
      </c>
      <c r="I173" s="607">
        <f>POP!S105</f>
        <v>6534.624931901088</v>
      </c>
      <c r="J173" s="607">
        <f>POP!T105</f>
        <v>6566.489725053358</v>
      </c>
      <c r="K173" s="607">
        <f>POP!U105</f>
        <v>6595.990603300354</v>
      </c>
      <c r="L173" s="607">
        <f>POP!V105</f>
        <v>6623.433011635569</v>
      </c>
      <c r="M173" s="607">
        <f>POP!W105</f>
        <v>6648.433944971596</v>
      </c>
      <c r="N173" s="607">
        <f>POP!X105</f>
        <v>6671.016858982</v>
      </c>
      <c r="O173" s="908">
        <f>POP!Y105</f>
        <v>6691.31612861443</v>
      </c>
      <c r="P173" s="1126"/>
    </row>
    <row r="174" spans="1:16" ht="15">
      <c r="A174" s="904" t="s">
        <v>575</v>
      </c>
      <c r="B174" s="606">
        <f>POP!L107</f>
        <v>10235.658</v>
      </c>
      <c r="C174" s="607">
        <f>POP!M107</f>
        <v>11783.094177983956</v>
      </c>
      <c r="D174" s="607">
        <f>POP!N107</f>
        <v>12630.82590083565</v>
      </c>
      <c r="E174" s="607">
        <f>POP!O107</f>
        <v>13478.557623687346</v>
      </c>
      <c r="F174" s="607">
        <f>POP!P107</f>
        <v>14326.28934653904</v>
      </c>
      <c r="G174" s="607">
        <f>POP!Q107</f>
        <v>15174.021069390736</v>
      </c>
      <c r="H174" s="607">
        <f>POP!R107</f>
        <v>16021.75279224243</v>
      </c>
      <c r="I174" s="607">
        <f>POP!S107</f>
        <v>16413.655856918955</v>
      </c>
      <c r="J174" s="607">
        <f>POP!T107</f>
        <v>16493.693770984988</v>
      </c>
      <c r="K174" s="607">
        <f>POP!U107</f>
        <v>16567.794009035257</v>
      </c>
      <c r="L174" s="607">
        <f>POP!V107</f>
        <v>16636.723787101066</v>
      </c>
      <c r="M174" s="607">
        <f>POP!W107</f>
        <v>16699.521073885808</v>
      </c>
      <c r="N174" s="607">
        <f>POP!X107</f>
        <v>16756.24478529633</v>
      </c>
      <c r="O174" s="908">
        <f>POP!Y107</f>
        <v>16807.23244401672</v>
      </c>
      <c r="P174" s="1126"/>
    </row>
    <row r="175" spans="1:16" ht="12.75" customHeight="1">
      <c r="A175" s="632"/>
      <c r="B175" s="279"/>
      <c r="C175" s="279"/>
      <c r="D175" s="279"/>
      <c r="E175" s="279"/>
      <c r="F175" s="279"/>
      <c r="G175" s="279"/>
      <c r="H175" s="279"/>
      <c r="I175" s="279"/>
      <c r="J175" s="279"/>
      <c r="K175" s="279"/>
      <c r="L175" s="279"/>
      <c r="M175" s="279"/>
      <c r="N175" s="279"/>
      <c r="O175" s="907"/>
      <c r="P175" s="1126"/>
    </row>
    <row r="176" spans="1:16" ht="15">
      <c r="A176" s="632" t="s">
        <v>74</v>
      </c>
      <c r="B176" s="269">
        <v>0</v>
      </c>
      <c r="C176" s="269">
        <v>0</v>
      </c>
      <c r="D176" s="269">
        <v>1</v>
      </c>
      <c r="E176" s="269">
        <v>1</v>
      </c>
      <c r="F176" s="269">
        <v>1</v>
      </c>
      <c r="G176" s="269">
        <v>1</v>
      </c>
      <c r="H176" s="269">
        <v>1</v>
      </c>
      <c r="I176" s="269">
        <v>1</v>
      </c>
      <c r="J176" s="269">
        <v>1</v>
      </c>
      <c r="K176" s="269">
        <v>1</v>
      </c>
      <c r="L176" s="269">
        <v>1</v>
      </c>
      <c r="M176" s="269">
        <v>1</v>
      </c>
      <c r="N176" s="269">
        <v>1</v>
      </c>
      <c r="O176" s="906">
        <v>1</v>
      </c>
      <c r="P176" s="1126"/>
    </row>
    <row r="177" spans="1:16" ht="15">
      <c r="A177" s="40"/>
      <c r="B177" s="454"/>
      <c r="C177" s="41"/>
      <c r="D177" s="41"/>
      <c r="E177" s="41"/>
      <c r="F177" s="41"/>
      <c r="G177" s="41"/>
      <c r="H177" s="41"/>
      <c r="I177" s="41"/>
      <c r="J177" s="41"/>
      <c r="K177" s="41"/>
      <c r="L177" s="41"/>
      <c r="M177" s="41"/>
      <c r="N177" s="41"/>
      <c r="O177" s="905"/>
      <c r="P177" s="1126"/>
    </row>
    <row r="178" spans="1:16" ht="15">
      <c r="A178" s="986" t="s">
        <v>618</v>
      </c>
      <c r="B178" s="454"/>
      <c r="C178" s="41"/>
      <c r="D178" s="41"/>
      <c r="E178" s="41"/>
      <c r="F178" s="41"/>
      <c r="G178" s="41"/>
      <c r="H178" s="41"/>
      <c r="I178" s="41"/>
      <c r="J178" s="41"/>
      <c r="K178" s="41"/>
      <c r="L178" s="41"/>
      <c r="M178" s="41"/>
      <c r="N178" s="41"/>
      <c r="O178" s="905"/>
      <c r="P178" s="1126"/>
    </row>
    <row r="179" spans="1:16" ht="15">
      <c r="A179" s="655" t="s">
        <v>322</v>
      </c>
      <c r="B179" s="454"/>
      <c r="C179" s="41"/>
      <c r="D179" s="41"/>
      <c r="E179" s="41"/>
      <c r="F179" s="41"/>
      <c r="G179" s="41"/>
      <c r="H179" s="41"/>
      <c r="I179" s="41"/>
      <c r="J179" s="41"/>
      <c r="K179" s="41"/>
      <c r="L179" s="41"/>
      <c r="M179" s="41"/>
      <c r="N179" s="41"/>
      <c r="O179" s="905"/>
      <c r="P179" s="1126"/>
    </row>
    <row r="180" spans="1:16" ht="15">
      <c r="A180" s="632" t="s">
        <v>70</v>
      </c>
      <c r="B180" s="31">
        <f>B173*B176</f>
        <v>0</v>
      </c>
      <c r="C180" s="31">
        <f aca="true" t="shared" si="77" ref="C180:G180">C173*C176</f>
        <v>0</v>
      </c>
      <c r="D180" s="31">
        <f t="shared" si="77"/>
        <v>5028.6</v>
      </c>
      <c r="E180" s="31">
        <f t="shared" si="77"/>
        <v>5366.1</v>
      </c>
      <c r="F180" s="31">
        <f t="shared" si="77"/>
        <v>5703.6</v>
      </c>
      <c r="G180" s="31">
        <f t="shared" si="77"/>
        <v>6041.1</v>
      </c>
      <c r="H180" s="31">
        <f aca="true" t="shared" si="78" ref="H180:O180">H173*H176</f>
        <v>6378.6</v>
      </c>
      <c r="I180" s="31">
        <f t="shared" si="78"/>
        <v>6534.624931901088</v>
      </c>
      <c r="J180" s="31">
        <f t="shared" si="78"/>
        <v>6566.489725053358</v>
      </c>
      <c r="K180" s="31">
        <f t="shared" si="78"/>
        <v>6595.990603300354</v>
      </c>
      <c r="L180" s="31">
        <f t="shared" si="78"/>
        <v>6623.433011635569</v>
      </c>
      <c r="M180" s="31">
        <f t="shared" si="78"/>
        <v>6648.433944971596</v>
      </c>
      <c r="N180" s="31">
        <f t="shared" si="78"/>
        <v>6671.016858982</v>
      </c>
      <c r="O180" s="900">
        <f t="shared" si="78"/>
        <v>6691.31612861443</v>
      </c>
      <c r="P180" s="1126"/>
    </row>
    <row r="181" spans="1:15" ht="15">
      <c r="A181" s="632" t="s">
        <v>611</v>
      </c>
      <c r="B181" s="263">
        <f>$B$171*12</f>
        <v>7200</v>
      </c>
      <c r="C181" s="31">
        <f>B181</f>
        <v>7200</v>
      </c>
      <c r="D181" s="31">
        <f aca="true" t="shared" si="79" ref="D181:H181">C181</f>
        <v>7200</v>
      </c>
      <c r="E181" s="31">
        <f t="shared" si="79"/>
        <v>7200</v>
      </c>
      <c r="F181" s="31">
        <f t="shared" si="79"/>
        <v>7200</v>
      </c>
      <c r="G181" s="31">
        <f t="shared" si="79"/>
        <v>7200</v>
      </c>
      <c r="H181" s="31">
        <f t="shared" si="79"/>
        <v>7200</v>
      </c>
      <c r="I181" s="31">
        <f>($B$171*(1+ECO!O10)*(1+ECO!P10)*(1+ECO!Q10)*(1+ECO!R10)*(1+ECO!S10))*12</f>
        <v>8468.848436908032</v>
      </c>
      <c r="J181" s="31">
        <f>I181</f>
        <v>8468.848436908032</v>
      </c>
      <c r="K181" s="31">
        <f>J181</f>
        <v>8468.848436908032</v>
      </c>
      <c r="L181" s="31">
        <f>K181</f>
        <v>8468.848436908032</v>
      </c>
      <c r="M181" s="31">
        <f>L181</f>
        <v>8468.848436908032</v>
      </c>
      <c r="N181" s="31">
        <f>(M181*(1+ECO!T10)*(1+ECO!U10)*(1+ECO!V10)*(1+ECO!W10)*(1+ECO!X10))</f>
        <v>9913.404952386554</v>
      </c>
      <c r="O181" s="900">
        <f>N181</f>
        <v>9913.404952386554</v>
      </c>
    </row>
    <row r="182" spans="1:15" ht="15">
      <c r="A182" s="632" t="s">
        <v>613</v>
      </c>
      <c r="B182" s="263">
        <f>500*12</f>
        <v>6000</v>
      </c>
      <c r="C182" s="31">
        <f aca="true" t="shared" si="80" ref="C182:O182">500*12</f>
        <v>6000</v>
      </c>
      <c r="D182" s="31">
        <f t="shared" si="80"/>
        <v>6000</v>
      </c>
      <c r="E182" s="31">
        <f t="shared" si="80"/>
        <v>6000</v>
      </c>
      <c r="F182" s="31">
        <f t="shared" si="80"/>
        <v>6000</v>
      </c>
      <c r="G182" s="31">
        <f t="shared" si="80"/>
        <v>6000</v>
      </c>
      <c r="H182" s="31">
        <f t="shared" si="80"/>
        <v>6000</v>
      </c>
      <c r="I182" s="31">
        <f t="shared" si="80"/>
        <v>6000</v>
      </c>
      <c r="J182" s="31">
        <f t="shared" si="80"/>
        <v>6000</v>
      </c>
      <c r="K182" s="31">
        <f t="shared" si="80"/>
        <v>6000</v>
      </c>
      <c r="L182" s="31">
        <f t="shared" si="80"/>
        <v>6000</v>
      </c>
      <c r="M182" s="31">
        <f t="shared" si="80"/>
        <v>6000</v>
      </c>
      <c r="N182" s="31">
        <f t="shared" si="80"/>
        <v>6000</v>
      </c>
      <c r="O182" s="900">
        <f t="shared" si="80"/>
        <v>6000</v>
      </c>
    </row>
    <row r="183" spans="1:15" ht="15">
      <c r="A183" s="632" t="s">
        <v>538</v>
      </c>
      <c r="B183" s="263">
        <f>B181-B182</f>
        <v>1200</v>
      </c>
      <c r="C183" s="31">
        <f aca="true" t="shared" si="81" ref="C183:O183">C181-C182</f>
        <v>1200</v>
      </c>
      <c r="D183" s="31">
        <f t="shared" si="81"/>
        <v>1200</v>
      </c>
      <c r="E183" s="31">
        <f t="shared" si="81"/>
        <v>1200</v>
      </c>
      <c r="F183" s="31">
        <f t="shared" si="81"/>
        <v>1200</v>
      </c>
      <c r="G183" s="31">
        <f t="shared" si="81"/>
        <v>1200</v>
      </c>
      <c r="H183" s="31">
        <f t="shared" si="81"/>
        <v>1200</v>
      </c>
      <c r="I183" s="31">
        <f t="shared" si="81"/>
        <v>2468.8484369080325</v>
      </c>
      <c r="J183" s="31">
        <f t="shared" si="81"/>
        <v>2468.8484369080325</v>
      </c>
      <c r="K183" s="31">
        <f t="shared" si="81"/>
        <v>2468.8484369080325</v>
      </c>
      <c r="L183" s="31">
        <f t="shared" si="81"/>
        <v>2468.8484369080325</v>
      </c>
      <c r="M183" s="31">
        <f t="shared" si="81"/>
        <v>2468.8484369080325</v>
      </c>
      <c r="N183" s="31">
        <f t="shared" si="81"/>
        <v>3913.404952386554</v>
      </c>
      <c r="O183" s="900">
        <f t="shared" si="81"/>
        <v>3913.404952386554</v>
      </c>
    </row>
    <row r="184" spans="1:15" ht="15">
      <c r="A184" s="632"/>
      <c r="B184" s="263"/>
      <c r="C184" s="31"/>
      <c r="D184" s="31"/>
      <c r="E184" s="31"/>
      <c r="F184" s="31"/>
      <c r="G184" s="31"/>
      <c r="H184" s="31"/>
      <c r="I184" s="31"/>
      <c r="J184" s="31"/>
      <c r="K184" s="31"/>
      <c r="L184" s="31"/>
      <c r="M184" s="31"/>
      <c r="N184" s="31"/>
      <c r="O184" s="900"/>
    </row>
    <row r="185" spans="1:15" ht="15">
      <c r="A185" s="987" t="s">
        <v>612</v>
      </c>
      <c r="B185" s="1034">
        <f>(B180*B183)/1000</f>
        <v>0</v>
      </c>
      <c r="C185" s="1035">
        <f aca="true" t="shared" si="82" ref="C185:O185">(C180*C183)/1000</f>
        <v>0</v>
      </c>
      <c r="D185" s="1035">
        <f t="shared" si="82"/>
        <v>6034.32</v>
      </c>
      <c r="E185" s="1035">
        <f t="shared" si="82"/>
        <v>6439.32</v>
      </c>
      <c r="F185" s="1035">
        <f t="shared" si="82"/>
        <v>6844.32</v>
      </c>
      <c r="G185" s="1035">
        <f t="shared" si="82"/>
        <v>7249.32</v>
      </c>
      <c r="H185" s="1035">
        <f t="shared" si="82"/>
        <v>7654.32</v>
      </c>
      <c r="I185" s="1035">
        <f t="shared" si="82"/>
        <v>16132.99854890426</v>
      </c>
      <c r="J185" s="1035">
        <f t="shared" si="82"/>
        <v>16211.667893670638</v>
      </c>
      <c r="K185" s="1035">
        <f t="shared" si="82"/>
        <v>16284.50109081815</v>
      </c>
      <c r="L185" s="1035">
        <f t="shared" si="82"/>
        <v>16352.252237741535</v>
      </c>
      <c r="M185" s="1035">
        <f t="shared" si="82"/>
        <v>16413.97575292943</v>
      </c>
      <c r="N185" s="1035">
        <f t="shared" si="82"/>
        <v>26106.390413394354</v>
      </c>
      <c r="O185" s="1036">
        <f t="shared" si="82"/>
        <v>26185.82967570374</v>
      </c>
    </row>
    <row r="186" spans="1:15" ht="15">
      <c r="A186" s="632"/>
      <c r="B186" s="263"/>
      <c r="C186" s="31"/>
      <c r="D186" s="31"/>
      <c r="E186" s="31"/>
      <c r="F186" s="31"/>
      <c r="G186" s="31"/>
      <c r="H186" s="31"/>
      <c r="I186" s="31"/>
      <c r="J186" s="31"/>
      <c r="K186" s="31"/>
      <c r="L186" s="31"/>
      <c r="M186" s="31"/>
      <c r="N186" s="31"/>
      <c r="O186" s="900"/>
    </row>
    <row r="187" spans="1:15" ht="15">
      <c r="A187" s="986" t="s">
        <v>577</v>
      </c>
      <c r="B187" s="263"/>
      <c r="C187" s="31"/>
      <c r="D187" s="31"/>
      <c r="E187" s="31"/>
      <c r="F187" s="31"/>
      <c r="G187" s="31"/>
      <c r="H187" s="31"/>
      <c r="I187" s="31"/>
      <c r="J187" s="31"/>
      <c r="K187" s="31"/>
      <c r="L187" s="31"/>
      <c r="M187" s="31"/>
      <c r="N187" s="31"/>
      <c r="O187" s="900"/>
    </row>
    <row r="188" spans="1:16" ht="15">
      <c r="A188" s="904" t="s">
        <v>576</v>
      </c>
      <c r="B188" s="606">
        <f>B174*87%</f>
        <v>8905.02246</v>
      </c>
      <c r="C188" s="607">
        <f aca="true" t="shared" si="83" ref="C188:O188">C174*87%</f>
        <v>10251.291934846042</v>
      </c>
      <c r="D188" s="607">
        <f t="shared" si="83"/>
        <v>10988.818533727017</v>
      </c>
      <c r="E188" s="607">
        <f t="shared" si="83"/>
        <v>11726.34513260799</v>
      </c>
      <c r="F188" s="607">
        <f t="shared" si="83"/>
        <v>12463.871731488965</v>
      </c>
      <c r="G188" s="607">
        <f t="shared" si="83"/>
        <v>13201.39833036994</v>
      </c>
      <c r="H188" s="607">
        <f t="shared" si="83"/>
        <v>13938.924929250914</v>
      </c>
      <c r="I188" s="607">
        <f t="shared" si="83"/>
        <v>14279.880595519491</v>
      </c>
      <c r="J188" s="607">
        <f t="shared" si="83"/>
        <v>14349.51358075694</v>
      </c>
      <c r="K188" s="607">
        <f t="shared" si="83"/>
        <v>14413.980787860673</v>
      </c>
      <c r="L188" s="607">
        <f t="shared" si="83"/>
        <v>14473.949694777926</v>
      </c>
      <c r="M188" s="607">
        <f t="shared" si="83"/>
        <v>14528.583334280653</v>
      </c>
      <c r="N188" s="607">
        <f t="shared" si="83"/>
        <v>14577.932963207808</v>
      </c>
      <c r="O188" s="908">
        <f t="shared" si="83"/>
        <v>14622.292226294547</v>
      </c>
      <c r="P188" s="909" t="s">
        <v>588</v>
      </c>
    </row>
    <row r="189" spans="1:16" ht="12.75" customHeight="1">
      <c r="A189" s="986"/>
      <c r="B189" s="263"/>
      <c r="C189" s="31"/>
      <c r="D189" s="31"/>
      <c r="E189" s="31"/>
      <c r="F189" s="31"/>
      <c r="G189" s="31"/>
      <c r="H189" s="31"/>
      <c r="I189" s="31"/>
      <c r="J189" s="31"/>
      <c r="K189" s="31"/>
      <c r="L189" s="31"/>
      <c r="M189" s="31"/>
      <c r="N189" s="31"/>
      <c r="O189" s="900"/>
      <c r="P189" s="1125" t="s">
        <v>583</v>
      </c>
    </row>
    <row r="190" spans="1:16" ht="15">
      <c r="A190" s="655" t="s">
        <v>323</v>
      </c>
      <c r="B190" s="263"/>
      <c r="C190" s="31"/>
      <c r="D190" s="31"/>
      <c r="E190" s="31"/>
      <c r="F190" s="31"/>
      <c r="G190" s="31"/>
      <c r="H190" s="31"/>
      <c r="I190" s="31"/>
      <c r="J190" s="31"/>
      <c r="K190" s="31"/>
      <c r="L190" s="31"/>
      <c r="M190" s="31"/>
      <c r="N190" s="31"/>
      <c r="O190" s="900"/>
      <c r="P190" s="1125"/>
    </row>
    <row r="191" spans="1:16" ht="15">
      <c r="A191" s="632" t="s">
        <v>566</v>
      </c>
      <c r="B191" s="263">
        <f>((B188*Calculations!L129)*(Calculations!L172+Calculations!L173))+(B188*Calculations!L130)+(B188*Calculations!L131)</f>
        <v>6574.106542136137</v>
      </c>
      <c r="C191" s="31">
        <f>((C188*Calculations!M129)*(Calculations!M172+Calculations!M173))+(C188*Calculations!M130)+(C188*Calculations!M131)</f>
        <v>7628.647850925711</v>
      </c>
      <c r="D191" s="31">
        <f>((D188*Calculations!N129)*(Calculations!N172+Calculations!N173))+(D188*Calculations!N130)+(D188*Calculations!N131)</f>
        <v>8242.516813573782</v>
      </c>
      <c r="E191" s="31">
        <f>((E188*Calculations!O129)*(Calculations!O172+Calculations!O173))+(E188*Calculations!O130)+(E188*Calculations!O131)</f>
        <v>8865.113494785317</v>
      </c>
      <c r="F191" s="31">
        <f>((F188*Calculations!P129)*(Calculations!P172+Calculations!P173))+(F188*Calculations!P130)+(F188*Calculations!P131)</f>
        <v>9496.437878096858</v>
      </c>
      <c r="G191" s="31">
        <f>((G188*Calculations!Q129)*(Calculations!Q172+Calculations!Q173))+(G188*Calculations!Q130)+(G188*Calculations!Q131)</f>
        <v>10136.492520593907</v>
      </c>
      <c r="H191" s="31">
        <f>((H188*Calculations!R129)*(Calculations!R172+Calculations!R173))+(H188*Calculations!R130)+(H188*Calculations!R131)</f>
        <v>10785.587734232144</v>
      </c>
      <c r="I191" s="31">
        <f>((I188*Calculations!S129)*(Calculations!S172+Calculations!S173))+(I188*Calculations!S130)+(I188*Calculations!S131)</f>
        <v>11134.191688515188</v>
      </c>
      <c r="J191" s="31">
        <f>((J188*Calculations!T129)*(Calculations!T172+Calculations!T173))+(J188*Calculations!T130)+(J188*Calculations!T131)</f>
        <v>11273.629336959219</v>
      </c>
      <c r="K191" s="31">
        <f>((K188*Calculations!U129)*(Calculations!U172+Calculations!U173))+(K188*Calculations!U130)+(K188*Calculations!U131)</f>
        <v>11409.753472581975</v>
      </c>
      <c r="L191" s="31">
        <f>((L188*Calculations!V129)*(Calculations!V172+Calculations!V173))+(L188*Calculations!V130)+(L188*Calculations!V131)</f>
        <v>11543.003829484787</v>
      </c>
      <c r="M191" s="31">
        <f>((M188*Calculations!W129)*(Calculations!W172+Calculations!W173))+(M188*Calculations!W130)+(M188*Calculations!W131)</f>
        <v>11672.6273559161</v>
      </c>
      <c r="N191" s="31">
        <f>((N188*Calculations!X129)*(Calculations!X172+Calculations!X173))+(N188*Calculations!X130)+(N188*Calculations!X131)</f>
        <v>11798.5701566996</v>
      </c>
      <c r="O191" s="900">
        <f>((O188*Calculations!Y129)*(Calculations!Y172+Calculations!Y173))+(O188*Calculations!Y130)+(O188*Calculations!Y131)</f>
        <v>11920.977271555006</v>
      </c>
      <c r="P191" s="1125"/>
    </row>
    <row r="192" spans="1:16" ht="15">
      <c r="A192" s="632" t="s">
        <v>70</v>
      </c>
      <c r="B192" s="263">
        <f>B191*B176</f>
        <v>0</v>
      </c>
      <c r="C192" s="31">
        <f aca="true" t="shared" si="84" ref="C192:O192">C191*C176</f>
        <v>0</v>
      </c>
      <c r="D192" s="31">
        <f t="shared" si="84"/>
        <v>8242.516813573782</v>
      </c>
      <c r="E192" s="31">
        <f t="shared" si="84"/>
        <v>8865.113494785317</v>
      </c>
      <c r="F192" s="31">
        <f t="shared" si="84"/>
        <v>9496.437878096858</v>
      </c>
      <c r="G192" s="31">
        <f t="shared" si="84"/>
        <v>10136.492520593907</v>
      </c>
      <c r="H192" s="31">
        <f t="shared" si="84"/>
        <v>10785.587734232144</v>
      </c>
      <c r="I192" s="31">
        <f t="shared" si="84"/>
        <v>11134.191688515188</v>
      </c>
      <c r="J192" s="31">
        <f t="shared" si="84"/>
        <v>11273.629336959219</v>
      </c>
      <c r="K192" s="31">
        <f t="shared" si="84"/>
        <v>11409.753472581975</v>
      </c>
      <c r="L192" s="31">
        <f t="shared" si="84"/>
        <v>11543.003829484787</v>
      </c>
      <c r="M192" s="31">
        <f t="shared" si="84"/>
        <v>11672.6273559161</v>
      </c>
      <c r="N192" s="31">
        <f t="shared" si="84"/>
        <v>11798.5701566996</v>
      </c>
      <c r="O192" s="900">
        <f t="shared" si="84"/>
        <v>11920.977271555006</v>
      </c>
      <c r="P192" s="1125"/>
    </row>
    <row r="193" spans="1:16" ht="15">
      <c r="A193" s="632" t="s">
        <v>614</v>
      </c>
      <c r="B193" s="263">
        <f>$H$171*10</f>
        <v>3600</v>
      </c>
      <c r="C193" s="31">
        <f aca="true" t="shared" si="85" ref="C193:H193">B193</f>
        <v>3600</v>
      </c>
      <c r="D193" s="31">
        <f t="shared" si="85"/>
        <v>3600</v>
      </c>
      <c r="E193" s="31">
        <f t="shared" si="85"/>
        <v>3600</v>
      </c>
      <c r="F193" s="31">
        <f t="shared" si="85"/>
        <v>3600</v>
      </c>
      <c r="G193" s="31">
        <f t="shared" si="85"/>
        <v>3600</v>
      </c>
      <c r="H193" s="31">
        <f t="shared" si="85"/>
        <v>3600</v>
      </c>
      <c r="I193" s="31">
        <f>(H193*(1+ECO!O10)*(1+ECO!P10)*(1+ECO!Q10)*(1+ECO!R10)*(1+ECO!S10))</f>
        <v>4234.424218454016</v>
      </c>
      <c r="J193" s="31">
        <f>I193</f>
        <v>4234.424218454016</v>
      </c>
      <c r="K193" s="31">
        <f>J193</f>
        <v>4234.424218454016</v>
      </c>
      <c r="L193" s="31">
        <f>K193</f>
        <v>4234.424218454016</v>
      </c>
      <c r="M193" s="31">
        <f>L193</f>
        <v>4234.424218454016</v>
      </c>
      <c r="N193" s="31">
        <f>(M193*(1+ECO!T10)*(1+ECO!U10)*(1+ECO!V10)*(1+ECO!W10)*(1+ECO!X10))</f>
        <v>4956.702476193277</v>
      </c>
      <c r="O193" s="900">
        <f>N193</f>
        <v>4956.702476193277</v>
      </c>
      <c r="P193" s="1125"/>
    </row>
    <row r="194" spans="1:16" ht="15">
      <c r="A194" s="632" t="s">
        <v>615</v>
      </c>
      <c r="B194" s="263">
        <f>300*10</f>
        <v>3000</v>
      </c>
      <c r="C194" s="31">
        <f aca="true" t="shared" si="86" ref="C194:O194">300*10</f>
        <v>3000</v>
      </c>
      <c r="D194" s="31">
        <f t="shared" si="86"/>
        <v>3000</v>
      </c>
      <c r="E194" s="31">
        <f t="shared" si="86"/>
        <v>3000</v>
      </c>
      <c r="F194" s="31">
        <f t="shared" si="86"/>
        <v>3000</v>
      </c>
      <c r="G194" s="31">
        <f t="shared" si="86"/>
        <v>3000</v>
      </c>
      <c r="H194" s="31">
        <f t="shared" si="86"/>
        <v>3000</v>
      </c>
      <c r="I194" s="31">
        <f t="shared" si="86"/>
        <v>3000</v>
      </c>
      <c r="J194" s="31">
        <f t="shared" si="86"/>
        <v>3000</v>
      </c>
      <c r="K194" s="31">
        <f t="shared" si="86"/>
        <v>3000</v>
      </c>
      <c r="L194" s="31">
        <f t="shared" si="86"/>
        <v>3000</v>
      </c>
      <c r="M194" s="31">
        <f t="shared" si="86"/>
        <v>3000</v>
      </c>
      <c r="N194" s="31">
        <f t="shared" si="86"/>
        <v>3000</v>
      </c>
      <c r="O194" s="900">
        <f t="shared" si="86"/>
        <v>3000</v>
      </c>
      <c r="P194" s="988"/>
    </row>
    <row r="195" spans="1:16" ht="15">
      <c r="A195" s="1038" t="s">
        <v>616</v>
      </c>
      <c r="B195" s="263">
        <f>B193-B194</f>
        <v>600</v>
      </c>
      <c r="C195" s="31">
        <f aca="true" t="shared" si="87" ref="C195:O195">C193-C194</f>
        <v>600</v>
      </c>
      <c r="D195" s="31">
        <f t="shared" si="87"/>
        <v>600</v>
      </c>
      <c r="E195" s="31">
        <f t="shared" si="87"/>
        <v>600</v>
      </c>
      <c r="F195" s="31">
        <f t="shared" si="87"/>
        <v>600</v>
      </c>
      <c r="G195" s="31">
        <f t="shared" si="87"/>
        <v>600</v>
      </c>
      <c r="H195" s="31">
        <f t="shared" si="87"/>
        <v>600</v>
      </c>
      <c r="I195" s="31">
        <f t="shared" si="87"/>
        <v>1234.4242184540162</v>
      </c>
      <c r="J195" s="31">
        <f t="shared" si="87"/>
        <v>1234.4242184540162</v>
      </c>
      <c r="K195" s="31">
        <f t="shared" si="87"/>
        <v>1234.4242184540162</v>
      </c>
      <c r="L195" s="31">
        <f t="shared" si="87"/>
        <v>1234.4242184540162</v>
      </c>
      <c r="M195" s="31">
        <f t="shared" si="87"/>
        <v>1234.4242184540162</v>
      </c>
      <c r="N195" s="31">
        <f t="shared" si="87"/>
        <v>1956.702476193277</v>
      </c>
      <c r="O195" s="900">
        <f t="shared" si="87"/>
        <v>1956.702476193277</v>
      </c>
      <c r="P195" s="988"/>
    </row>
    <row r="196" spans="1:16" ht="15">
      <c r="A196" s="632"/>
      <c r="B196" s="263"/>
      <c r="C196" s="31"/>
      <c r="D196" s="31"/>
      <c r="E196" s="31"/>
      <c r="F196" s="31"/>
      <c r="G196" s="31"/>
      <c r="H196" s="31"/>
      <c r="I196" s="31"/>
      <c r="J196" s="31"/>
      <c r="K196" s="31"/>
      <c r="L196" s="31"/>
      <c r="M196" s="31"/>
      <c r="N196" s="31"/>
      <c r="O196" s="900"/>
      <c r="P196" s="988"/>
    </row>
    <row r="197" spans="1:16" ht="15">
      <c r="A197" s="987" t="s">
        <v>617</v>
      </c>
      <c r="B197" s="1034">
        <f>(B192*B195)/1000</f>
        <v>0</v>
      </c>
      <c r="C197" s="1035">
        <f aca="true" t="shared" si="88" ref="C197:O197">(C192*C195)/1000</f>
        <v>0</v>
      </c>
      <c r="D197" s="1035">
        <f t="shared" si="88"/>
        <v>4945.5100881442695</v>
      </c>
      <c r="E197" s="1035">
        <f t="shared" si="88"/>
        <v>5319.0680968711895</v>
      </c>
      <c r="F197" s="1035">
        <f t="shared" si="88"/>
        <v>5697.862726858115</v>
      </c>
      <c r="G197" s="1035">
        <f t="shared" si="88"/>
        <v>6081.895512356345</v>
      </c>
      <c r="H197" s="1035">
        <f t="shared" si="88"/>
        <v>6471.352640539287</v>
      </c>
      <c r="I197" s="1035">
        <f t="shared" si="88"/>
        <v>13744.315873212565</v>
      </c>
      <c r="J197" s="1035">
        <f t="shared" si="88"/>
        <v>13916.441083416154</v>
      </c>
      <c r="K197" s="1035">
        <f t="shared" si="88"/>
        <v>14084.476013145002</v>
      </c>
      <c r="L197" s="1035">
        <f t="shared" si="88"/>
        <v>14248.963480823473</v>
      </c>
      <c r="M197" s="1035">
        <f t="shared" si="88"/>
        <v>14408.973901131701</v>
      </c>
      <c r="N197" s="1035">
        <f t="shared" si="88"/>
        <v>23086.291441154208</v>
      </c>
      <c r="O197" s="1036">
        <f t="shared" si="88"/>
        <v>23325.805745895457</v>
      </c>
      <c r="P197" s="988"/>
    </row>
    <row r="198" spans="1:16" ht="15">
      <c r="A198" s="632"/>
      <c r="B198" s="263"/>
      <c r="C198" s="31"/>
      <c r="D198" s="31"/>
      <c r="E198" s="31"/>
      <c r="F198" s="31"/>
      <c r="G198" s="31"/>
      <c r="H198" s="31"/>
      <c r="I198" s="31"/>
      <c r="J198" s="31"/>
      <c r="K198" s="31"/>
      <c r="L198" s="31"/>
      <c r="M198" s="31"/>
      <c r="N198" s="31"/>
      <c r="O198" s="900"/>
      <c r="P198" s="988"/>
    </row>
    <row r="199" spans="1:15" ht="15">
      <c r="A199" s="655" t="s">
        <v>324</v>
      </c>
      <c r="B199" s="263"/>
      <c r="C199" s="31"/>
      <c r="D199" s="31"/>
      <c r="E199" s="31"/>
      <c r="F199" s="31"/>
      <c r="G199" s="31"/>
      <c r="H199" s="31"/>
      <c r="I199" s="31"/>
      <c r="J199" s="31"/>
      <c r="K199" s="31"/>
      <c r="L199" s="31"/>
      <c r="M199" s="31"/>
      <c r="N199" s="31"/>
      <c r="O199" s="900"/>
    </row>
    <row r="200" spans="1:16" ht="15">
      <c r="A200" s="632" t="s">
        <v>565</v>
      </c>
      <c r="B200" s="263">
        <f>(B188*Calculations!L132)</f>
        <v>2106.928314036</v>
      </c>
      <c r="C200" s="31">
        <f>(C188*Calculations!M132)</f>
        <v>2378.2997288842816</v>
      </c>
      <c r="D200" s="31">
        <f>(D188*Calculations!N132)</f>
        <v>2498.8573345695236</v>
      </c>
      <c r="E200" s="31">
        <f>(E188*Calculations!O132)</f>
        <v>2612.62969554506</v>
      </c>
      <c r="F200" s="31">
        <f>(F188*Calculations!P132)</f>
        <v>2719.616811810892</v>
      </c>
      <c r="G200" s="31">
        <f>(G188*Calculations!Q132)</f>
        <v>2819.8186833670193</v>
      </c>
      <c r="H200" s="31">
        <f>(H188*Calculations!R132)</f>
        <v>2913.2353102134407</v>
      </c>
      <c r="I200" s="31">
        <f>(I188*Calculations!S132)</f>
        <v>2918.807593724184</v>
      </c>
      <c r="J200" s="31">
        <f>(J188*Calculations!T132)</f>
        <v>2867.032813435236</v>
      </c>
      <c r="K200" s="31">
        <f>(K188*Calculations!U132)</f>
        <v>2813.6090497904033</v>
      </c>
      <c r="L200" s="31">
        <f>(L188*Calculations!V132)</f>
        <v>2758.7348118246728</v>
      </c>
      <c r="M200" s="31">
        <f>(M188*Calculations!W132)</f>
        <v>2702.316500176201</v>
      </c>
      <c r="N200" s="31">
        <f>(N188*Calculations!X132)</f>
        <v>2644.437039525896</v>
      </c>
      <c r="O200" s="900">
        <f>(O188*Calculations!Y132)</f>
        <v>2585.2212656088755</v>
      </c>
      <c r="P200" s="608"/>
    </row>
    <row r="201" spans="1:16" ht="15">
      <c r="A201" s="632" t="s">
        <v>70</v>
      </c>
      <c r="B201" s="263">
        <f>B200*B176</f>
        <v>0</v>
      </c>
      <c r="C201" s="31">
        <f aca="true" t="shared" si="89" ref="C201:O201">C200*C176</f>
        <v>0</v>
      </c>
      <c r="D201" s="31">
        <f t="shared" si="89"/>
        <v>2498.8573345695236</v>
      </c>
      <c r="E201" s="31">
        <f t="shared" si="89"/>
        <v>2612.62969554506</v>
      </c>
      <c r="F201" s="31">
        <f t="shared" si="89"/>
        <v>2719.616811810892</v>
      </c>
      <c r="G201" s="31">
        <f t="shared" si="89"/>
        <v>2819.8186833670193</v>
      </c>
      <c r="H201" s="31">
        <f t="shared" si="89"/>
        <v>2913.2353102134407</v>
      </c>
      <c r="I201" s="31">
        <f t="shared" si="89"/>
        <v>2918.807593724184</v>
      </c>
      <c r="J201" s="31">
        <f t="shared" si="89"/>
        <v>2867.032813435236</v>
      </c>
      <c r="K201" s="31">
        <f t="shared" si="89"/>
        <v>2813.6090497904033</v>
      </c>
      <c r="L201" s="31">
        <f t="shared" si="89"/>
        <v>2758.7348118246728</v>
      </c>
      <c r="M201" s="31">
        <f t="shared" si="89"/>
        <v>2702.316500176201</v>
      </c>
      <c r="N201" s="31">
        <f t="shared" si="89"/>
        <v>2644.437039525896</v>
      </c>
      <c r="O201" s="900">
        <f t="shared" si="89"/>
        <v>2585.2212656088755</v>
      </c>
      <c r="P201" s="608"/>
    </row>
    <row r="202" spans="1:15" ht="15">
      <c r="A202" s="632" t="s">
        <v>614</v>
      </c>
      <c r="B202" s="263">
        <f>$M$171*10</f>
        <v>6000</v>
      </c>
      <c r="C202" s="31">
        <f aca="true" t="shared" si="90" ref="C202:H202">B202</f>
        <v>6000</v>
      </c>
      <c r="D202" s="31">
        <f t="shared" si="90"/>
        <v>6000</v>
      </c>
      <c r="E202" s="31">
        <f t="shared" si="90"/>
        <v>6000</v>
      </c>
      <c r="F202" s="31">
        <f t="shared" si="90"/>
        <v>6000</v>
      </c>
      <c r="G202" s="31">
        <f t="shared" si="90"/>
        <v>6000</v>
      </c>
      <c r="H202" s="31">
        <f t="shared" si="90"/>
        <v>6000</v>
      </c>
      <c r="I202" s="31">
        <f>(H202*(1+ECO!O10)*(1+ECO!P10)*(1+ECO!Q10)*(1+ECO!R10)*(1+ECO!S10))</f>
        <v>7057.37369742336</v>
      </c>
      <c r="J202" s="31">
        <f>I202</f>
        <v>7057.37369742336</v>
      </c>
      <c r="K202" s="31">
        <f>J202</f>
        <v>7057.37369742336</v>
      </c>
      <c r="L202" s="31">
        <f>K202</f>
        <v>7057.37369742336</v>
      </c>
      <c r="M202" s="31">
        <f>L202</f>
        <v>7057.37369742336</v>
      </c>
      <c r="N202" s="31">
        <f>(M202*(1+ECO!T10)*(1+ECO!U10)*(1+ECO!V10)*(1+ECO!W10)*(1+ECO!X10))</f>
        <v>8261.170793655461</v>
      </c>
      <c r="O202" s="900">
        <f>N202</f>
        <v>8261.170793655461</v>
      </c>
    </row>
    <row r="203" spans="1:15" ht="15">
      <c r="A203" s="632" t="s">
        <v>615</v>
      </c>
      <c r="B203" s="263">
        <f>500*10</f>
        <v>5000</v>
      </c>
      <c r="C203" s="31">
        <f>B203</f>
        <v>5000</v>
      </c>
      <c r="D203" s="31">
        <f aca="true" t="shared" si="91" ref="D203:O203">C203</f>
        <v>5000</v>
      </c>
      <c r="E203" s="31">
        <f t="shared" si="91"/>
        <v>5000</v>
      </c>
      <c r="F203" s="31">
        <f t="shared" si="91"/>
        <v>5000</v>
      </c>
      <c r="G203" s="31">
        <f t="shared" si="91"/>
        <v>5000</v>
      </c>
      <c r="H203" s="31">
        <f t="shared" si="91"/>
        <v>5000</v>
      </c>
      <c r="I203" s="31">
        <f t="shared" si="91"/>
        <v>5000</v>
      </c>
      <c r="J203" s="31">
        <f t="shared" si="91"/>
        <v>5000</v>
      </c>
      <c r="K203" s="31">
        <f t="shared" si="91"/>
        <v>5000</v>
      </c>
      <c r="L203" s="31">
        <f t="shared" si="91"/>
        <v>5000</v>
      </c>
      <c r="M203" s="31">
        <f t="shared" si="91"/>
        <v>5000</v>
      </c>
      <c r="N203" s="31">
        <f t="shared" si="91"/>
        <v>5000</v>
      </c>
      <c r="O203" s="900">
        <f t="shared" si="91"/>
        <v>5000</v>
      </c>
    </row>
    <row r="204" spans="1:15" ht="15">
      <c r="A204" s="1038" t="s">
        <v>616</v>
      </c>
      <c r="B204" s="263">
        <f>B202-B203</f>
        <v>1000</v>
      </c>
      <c r="C204" s="31">
        <f aca="true" t="shared" si="92" ref="C204:O204">C202-C203</f>
        <v>1000</v>
      </c>
      <c r="D204" s="31">
        <f t="shared" si="92"/>
        <v>1000</v>
      </c>
      <c r="E204" s="31">
        <f t="shared" si="92"/>
        <v>1000</v>
      </c>
      <c r="F204" s="31">
        <f t="shared" si="92"/>
        <v>1000</v>
      </c>
      <c r="G204" s="31">
        <f t="shared" si="92"/>
        <v>1000</v>
      </c>
      <c r="H204" s="31">
        <f t="shared" si="92"/>
        <v>1000</v>
      </c>
      <c r="I204" s="31">
        <f t="shared" si="92"/>
        <v>2057.3736974233598</v>
      </c>
      <c r="J204" s="31">
        <f t="shared" si="92"/>
        <v>2057.3736974233598</v>
      </c>
      <c r="K204" s="31">
        <f t="shared" si="92"/>
        <v>2057.3736974233598</v>
      </c>
      <c r="L204" s="31">
        <f t="shared" si="92"/>
        <v>2057.3736974233598</v>
      </c>
      <c r="M204" s="31">
        <f t="shared" si="92"/>
        <v>2057.3736974233598</v>
      </c>
      <c r="N204" s="31">
        <f t="shared" si="92"/>
        <v>3261.1707936554612</v>
      </c>
      <c r="O204" s="900">
        <f t="shared" si="92"/>
        <v>3261.1707936554612</v>
      </c>
    </row>
    <row r="205" spans="1:15" ht="15">
      <c r="A205" s="632"/>
      <c r="B205" s="263"/>
      <c r="C205" s="31"/>
      <c r="D205" s="31"/>
      <c r="E205" s="31"/>
      <c r="F205" s="31"/>
      <c r="G205" s="31"/>
      <c r="H205" s="31"/>
      <c r="I205" s="31"/>
      <c r="J205" s="31"/>
      <c r="K205" s="31"/>
      <c r="L205" s="31"/>
      <c r="M205" s="31"/>
      <c r="N205" s="31"/>
      <c r="O205" s="900"/>
    </row>
    <row r="206" spans="1:15" ht="15">
      <c r="A206" s="987" t="s">
        <v>617</v>
      </c>
      <c r="B206" s="1034">
        <f>(B201*B204)/1000</f>
        <v>0</v>
      </c>
      <c r="C206" s="1035">
        <f aca="true" t="shared" si="93" ref="C206:O206">(C201*C204)/1000</f>
        <v>0</v>
      </c>
      <c r="D206" s="1035">
        <f t="shared" si="93"/>
        <v>2498.8573345695236</v>
      </c>
      <c r="E206" s="1035">
        <f t="shared" si="93"/>
        <v>2612.62969554506</v>
      </c>
      <c r="F206" s="1035">
        <f t="shared" si="93"/>
        <v>2719.616811810892</v>
      </c>
      <c r="G206" s="1035">
        <f t="shared" si="93"/>
        <v>2819.8186833670193</v>
      </c>
      <c r="H206" s="1035">
        <f t="shared" si="93"/>
        <v>2913.2353102134407</v>
      </c>
      <c r="I206" s="1035">
        <f t="shared" si="93"/>
        <v>6005.077971167704</v>
      </c>
      <c r="J206" s="1035">
        <f t="shared" si="93"/>
        <v>5898.557900011349</v>
      </c>
      <c r="K206" s="1035">
        <f t="shared" si="93"/>
        <v>5788.645253871108</v>
      </c>
      <c r="L206" s="1035">
        <f t="shared" si="93"/>
        <v>5675.748440014264</v>
      </c>
      <c r="M206" s="1035">
        <f t="shared" si="93"/>
        <v>5559.674889575664</v>
      </c>
      <c r="N206" s="1035">
        <f t="shared" si="93"/>
        <v>8623.960838962565</v>
      </c>
      <c r="O206" s="1036">
        <f t="shared" si="93"/>
        <v>8430.848086540673</v>
      </c>
    </row>
    <row r="207" spans="1:15" ht="15">
      <c r="A207" s="632"/>
      <c r="B207" s="263"/>
      <c r="C207" s="31"/>
      <c r="D207" s="31"/>
      <c r="E207" s="31"/>
      <c r="F207" s="31"/>
      <c r="G207" s="31"/>
      <c r="H207" s="31"/>
      <c r="I207" s="31"/>
      <c r="J207" s="31"/>
      <c r="K207" s="31"/>
      <c r="L207" s="31"/>
      <c r="M207" s="31"/>
      <c r="N207" s="31"/>
      <c r="O207" s="900"/>
    </row>
    <row r="208" spans="1:15" ht="15">
      <c r="A208" s="986" t="s">
        <v>578</v>
      </c>
      <c r="B208" s="263"/>
      <c r="C208" s="31"/>
      <c r="D208" s="31"/>
      <c r="E208" s="31"/>
      <c r="F208" s="31"/>
      <c r="G208" s="31"/>
      <c r="H208" s="31"/>
      <c r="I208" s="31"/>
      <c r="J208" s="31"/>
      <c r="K208" s="31"/>
      <c r="L208" s="31"/>
      <c r="M208" s="31"/>
      <c r="N208" s="31"/>
      <c r="O208" s="900"/>
    </row>
    <row r="209" spans="1:16" ht="15">
      <c r="A209" s="904" t="s">
        <v>579</v>
      </c>
      <c r="B209" s="606">
        <f aca="true" t="shared" si="94" ref="B209:O209">B174*13%</f>
        <v>1330.63554</v>
      </c>
      <c r="C209" s="607">
        <f t="shared" si="94"/>
        <v>1531.8022431379143</v>
      </c>
      <c r="D209" s="607">
        <f t="shared" si="94"/>
        <v>1642.0073671086348</v>
      </c>
      <c r="E209" s="607">
        <f t="shared" si="94"/>
        <v>1752.212491079355</v>
      </c>
      <c r="F209" s="607">
        <f t="shared" si="94"/>
        <v>1862.4176150500753</v>
      </c>
      <c r="G209" s="607">
        <f t="shared" si="94"/>
        <v>1972.6227390207957</v>
      </c>
      <c r="H209" s="607">
        <f t="shared" si="94"/>
        <v>2082.827862991516</v>
      </c>
      <c r="I209" s="607">
        <f t="shared" si="94"/>
        <v>2133.7752613994644</v>
      </c>
      <c r="J209" s="607">
        <f t="shared" si="94"/>
        <v>2144.1801902280486</v>
      </c>
      <c r="K209" s="607">
        <f t="shared" si="94"/>
        <v>2153.8132211745833</v>
      </c>
      <c r="L209" s="607">
        <f t="shared" si="94"/>
        <v>2162.7740923231386</v>
      </c>
      <c r="M209" s="607">
        <f t="shared" si="94"/>
        <v>2170.937739605155</v>
      </c>
      <c r="N209" s="607">
        <f t="shared" si="94"/>
        <v>2178.311822088523</v>
      </c>
      <c r="O209" s="908">
        <f t="shared" si="94"/>
        <v>2184.9402177221737</v>
      </c>
      <c r="P209" s="909" t="s">
        <v>589</v>
      </c>
    </row>
    <row r="210" spans="1:15" ht="15">
      <c r="A210" s="986"/>
      <c r="B210" s="263"/>
      <c r="C210" s="31"/>
      <c r="D210" s="31"/>
      <c r="E210" s="31"/>
      <c r="F210" s="31"/>
      <c r="G210" s="31"/>
      <c r="H210" s="31"/>
      <c r="I210" s="31"/>
      <c r="J210" s="31"/>
      <c r="K210" s="31"/>
      <c r="L210" s="31"/>
      <c r="M210" s="31"/>
      <c r="N210" s="31"/>
      <c r="O210" s="900"/>
    </row>
    <row r="211" spans="1:15" ht="15">
      <c r="A211" s="655" t="s">
        <v>580</v>
      </c>
      <c r="B211" s="263"/>
      <c r="C211" s="31"/>
      <c r="D211" s="31"/>
      <c r="E211" s="31"/>
      <c r="F211" s="31"/>
      <c r="G211" s="31"/>
      <c r="H211" s="31"/>
      <c r="I211" s="31"/>
      <c r="J211" s="31"/>
      <c r="K211" s="31"/>
      <c r="L211" s="31"/>
      <c r="M211" s="31"/>
      <c r="N211" s="31"/>
      <c r="O211" s="900"/>
    </row>
    <row r="212" spans="1:15" ht="15">
      <c r="A212" s="632" t="s">
        <v>566</v>
      </c>
      <c r="B212" s="263">
        <f>((B209*Calculations!L129)*(Calculations!L172+Calculations!L173))+(B209*Calculations!L130)+(B209*Calculations!L131)</f>
        <v>982.3377591697677</v>
      </c>
      <c r="C212" s="31">
        <f>((C209*Calculations!M129)*(Calculations!M172+Calculations!M173))+(C209*Calculations!M130)+(C209*Calculations!M131)</f>
        <v>1139.9128972647613</v>
      </c>
      <c r="D212" s="31">
        <f>((D209*Calculations!N129)*(Calculations!N172+Calculations!N173))+(D209*Calculations!N130)+(D209*Calculations!N131)</f>
        <v>1231.6404434075766</v>
      </c>
      <c r="E212" s="31">
        <f>((E209*Calculations!O129)*(Calculations!O172+Calculations!O173))+(E209*Calculations!O130)+(E209*Calculations!O131)</f>
        <v>1324.6721314047027</v>
      </c>
      <c r="F212" s="31">
        <f>((F209*Calculations!P129)*(Calculations!P172+Calculations!P173))+(F209*Calculations!P130)+(F209*Calculations!P131)</f>
        <v>1419.0079587960822</v>
      </c>
      <c r="G212" s="31">
        <f>((G209*Calculations!Q129)*(Calculations!Q172+Calculations!Q173))+(G209*Calculations!Q130)+(G209*Calculations!Q131)</f>
        <v>1514.6483076749519</v>
      </c>
      <c r="H212" s="31">
        <f>((H209*Calculations!R129)*(Calculations!R172+Calculations!R173))+(H209*Calculations!R130)+(H209*Calculations!R131)</f>
        <v>1611.639546494459</v>
      </c>
      <c r="I212" s="31">
        <f>((I209*Calculations!S129)*(Calculations!S172+Calculations!S173))+(I209*Calculations!S130)+(I209*Calculations!S131)</f>
        <v>1663.729792536752</v>
      </c>
      <c r="J212" s="31">
        <f>((J209*Calculations!T129)*(Calculations!T172+Calculations!T173))+(J209*Calculations!T130)+(J209*Calculations!T131)</f>
        <v>1684.5653032237913</v>
      </c>
      <c r="K212" s="31">
        <f>((K209*Calculations!U129)*(Calculations!U172+Calculations!U173))+(K209*Calculations!U130)+(K209*Calculations!U131)</f>
        <v>1704.9056913053525</v>
      </c>
      <c r="L212" s="31">
        <f>((L209*Calculations!V129)*(Calculations!V172+Calculations!V173))+(L209*Calculations!V130)+(L209*Calculations!V131)</f>
        <v>1724.8166641758876</v>
      </c>
      <c r="M212" s="31">
        <f>((M209*Calculations!W129)*(Calculations!W172+Calculations!W173))+(M209*Calculations!W130)+(M209*Calculations!W131)</f>
        <v>1744.1856968610264</v>
      </c>
      <c r="N212" s="31">
        <f>((N209*Calculations!X129)*(Calculations!X172+Calculations!X173))+(N209*Calculations!X130)+(N209*Calculations!X131)</f>
        <v>1763.0047360585609</v>
      </c>
      <c r="O212" s="900">
        <f>((O209*Calculations!Y129)*(Calculations!Y172+Calculations!Y173))+(O209*Calculations!Y130)+(O209*Calculations!Y131)</f>
        <v>1781.295454370288</v>
      </c>
    </row>
    <row r="213" spans="1:15" ht="15">
      <c r="A213" s="632" t="s">
        <v>70</v>
      </c>
      <c r="B213" s="263">
        <f>B176*B212</f>
        <v>0</v>
      </c>
      <c r="C213" s="31">
        <f aca="true" t="shared" si="95" ref="C213:O213">C176*C212</f>
        <v>0</v>
      </c>
      <c r="D213" s="31">
        <f t="shared" si="95"/>
        <v>1231.6404434075766</v>
      </c>
      <c r="E213" s="31">
        <f t="shared" si="95"/>
        <v>1324.6721314047027</v>
      </c>
      <c r="F213" s="31">
        <f t="shared" si="95"/>
        <v>1419.0079587960822</v>
      </c>
      <c r="G213" s="31">
        <f t="shared" si="95"/>
        <v>1514.6483076749519</v>
      </c>
      <c r="H213" s="31">
        <f t="shared" si="95"/>
        <v>1611.639546494459</v>
      </c>
      <c r="I213" s="31">
        <f t="shared" si="95"/>
        <v>1663.729792536752</v>
      </c>
      <c r="J213" s="31">
        <f t="shared" si="95"/>
        <v>1684.5653032237913</v>
      </c>
      <c r="K213" s="31">
        <f t="shared" si="95"/>
        <v>1704.9056913053525</v>
      </c>
      <c r="L213" s="31">
        <f t="shared" si="95"/>
        <v>1724.8166641758876</v>
      </c>
      <c r="M213" s="31">
        <f t="shared" si="95"/>
        <v>1744.1856968610264</v>
      </c>
      <c r="N213" s="31">
        <f t="shared" si="95"/>
        <v>1763.0047360585609</v>
      </c>
      <c r="O213" s="900">
        <f t="shared" si="95"/>
        <v>1781.295454370288</v>
      </c>
    </row>
    <row r="214" spans="1:15" ht="15">
      <c r="A214" s="632" t="s">
        <v>614</v>
      </c>
      <c r="B214" s="263">
        <f>($H$171*10)</f>
        <v>3600</v>
      </c>
      <c r="C214" s="31">
        <f aca="true" t="shared" si="96" ref="C214:H214">B214</f>
        <v>3600</v>
      </c>
      <c r="D214" s="31">
        <f t="shared" si="96"/>
        <v>3600</v>
      </c>
      <c r="E214" s="31">
        <f t="shared" si="96"/>
        <v>3600</v>
      </c>
      <c r="F214" s="31">
        <f t="shared" si="96"/>
        <v>3600</v>
      </c>
      <c r="G214" s="31">
        <f t="shared" si="96"/>
        <v>3600</v>
      </c>
      <c r="H214" s="31">
        <f t="shared" si="96"/>
        <v>3600</v>
      </c>
      <c r="I214" s="31">
        <f>(H214*(1+ECO!O10)*(1+ECO!P10)*(1+ECO!Q10)*(1+ECO!R10)*(1+ECO!S10))</f>
        <v>4234.424218454016</v>
      </c>
      <c r="J214" s="31">
        <f>I214</f>
        <v>4234.424218454016</v>
      </c>
      <c r="K214" s="31">
        <f>J214</f>
        <v>4234.424218454016</v>
      </c>
      <c r="L214" s="31">
        <f>K214</f>
        <v>4234.424218454016</v>
      </c>
      <c r="M214" s="31">
        <f>L214</f>
        <v>4234.424218454016</v>
      </c>
      <c r="N214" s="31">
        <f>(M214*(1+ECO!T10)*(1+ECO!U10)*(1+ECO!V10)*(1+ECO!W10)*(1+ECO!X10))</f>
        <v>4956.702476193277</v>
      </c>
      <c r="O214" s="900">
        <f>N214</f>
        <v>4956.702476193277</v>
      </c>
    </row>
    <row r="215" spans="1:15" ht="15">
      <c r="A215" s="632" t="s">
        <v>615</v>
      </c>
      <c r="B215" s="263">
        <v>0</v>
      </c>
      <c r="C215" s="31">
        <f>B215</f>
        <v>0</v>
      </c>
      <c r="D215" s="31">
        <f aca="true" t="shared" si="97" ref="D215:O215">C215</f>
        <v>0</v>
      </c>
      <c r="E215" s="31">
        <f t="shared" si="97"/>
        <v>0</v>
      </c>
      <c r="F215" s="31">
        <f t="shared" si="97"/>
        <v>0</v>
      </c>
      <c r="G215" s="31">
        <f t="shared" si="97"/>
        <v>0</v>
      </c>
      <c r="H215" s="31">
        <f t="shared" si="97"/>
        <v>0</v>
      </c>
      <c r="I215" s="31">
        <f t="shared" si="97"/>
        <v>0</v>
      </c>
      <c r="J215" s="31">
        <f t="shared" si="97"/>
        <v>0</v>
      </c>
      <c r="K215" s="31">
        <f t="shared" si="97"/>
        <v>0</v>
      </c>
      <c r="L215" s="31">
        <f t="shared" si="97"/>
        <v>0</v>
      </c>
      <c r="M215" s="31">
        <f t="shared" si="97"/>
        <v>0</v>
      </c>
      <c r="N215" s="31">
        <f t="shared" si="97"/>
        <v>0</v>
      </c>
      <c r="O215" s="900">
        <f t="shared" si="97"/>
        <v>0</v>
      </c>
    </row>
    <row r="216" spans="1:15" ht="15">
      <c r="A216" s="1038" t="s">
        <v>616</v>
      </c>
      <c r="B216" s="263">
        <f>B214-B215</f>
        <v>3600</v>
      </c>
      <c r="C216" s="31">
        <f aca="true" t="shared" si="98" ref="C216:O216">C214-C215</f>
        <v>3600</v>
      </c>
      <c r="D216" s="31">
        <f t="shared" si="98"/>
        <v>3600</v>
      </c>
      <c r="E216" s="31">
        <f t="shared" si="98"/>
        <v>3600</v>
      </c>
      <c r="F216" s="31">
        <f t="shared" si="98"/>
        <v>3600</v>
      </c>
      <c r="G216" s="31">
        <f t="shared" si="98"/>
        <v>3600</v>
      </c>
      <c r="H216" s="31">
        <f t="shared" si="98"/>
        <v>3600</v>
      </c>
      <c r="I216" s="31">
        <f t="shared" si="98"/>
        <v>4234.424218454016</v>
      </c>
      <c r="J216" s="31">
        <f t="shared" si="98"/>
        <v>4234.424218454016</v>
      </c>
      <c r="K216" s="31">
        <f t="shared" si="98"/>
        <v>4234.424218454016</v>
      </c>
      <c r="L216" s="31">
        <f t="shared" si="98"/>
        <v>4234.424218454016</v>
      </c>
      <c r="M216" s="31">
        <f t="shared" si="98"/>
        <v>4234.424218454016</v>
      </c>
      <c r="N216" s="31">
        <f t="shared" si="98"/>
        <v>4956.702476193277</v>
      </c>
      <c r="O216" s="900">
        <f t="shared" si="98"/>
        <v>4956.702476193277</v>
      </c>
    </row>
    <row r="217" spans="1:15" ht="15">
      <c r="A217" s="632"/>
      <c r="B217" s="263"/>
      <c r="C217" s="31"/>
      <c r="D217" s="31"/>
      <c r="E217" s="31"/>
      <c r="F217" s="31"/>
      <c r="G217" s="31"/>
      <c r="H217" s="31"/>
      <c r="I217" s="31"/>
      <c r="J217" s="31"/>
      <c r="K217" s="31"/>
      <c r="L217" s="31"/>
      <c r="M217" s="31"/>
      <c r="N217" s="31"/>
      <c r="O217" s="900"/>
    </row>
    <row r="218" spans="1:15" ht="15">
      <c r="A218" s="987" t="s">
        <v>617</v>
      </c>
      <c r="B218" s="1034">
        <f>(B213*B216)/1000</f>
        <v>0</v>
      </c>
      <c r="C218" s="1035">
        <f aca="true" t="shared" si="99" ref="C218:O218">(C213*C216)/1000</f>
        <v>0</v>
      </c>
      <c r="D218" s="1035">
        <f t="shared" si="99"/>
        <v>4433.9055962672755</v>
      </c>
      <c r="E218" s="1035">
        <f t="shared" si="99"/>
        <v>4768.81967305693</v>
      </c>
      <c r="F218" s="1035">
        <f t="shared" si="99"/>
        <v>5108.428651665896</v>
      </c>
      <c r="G218" s="1035">
        <f t="shared" si="99"/>
        <v>5452.733907629827</v>
      </c>
      <c r="H218" s="1035">
        <f t="shared" si="99"/>
        <v>5801.902367380052</v>
      </c>
      <c r="I218" s="1035">
        <f t="shared" si="99"/>
        <v>7044.937726481098</v>
      </c>
      <c r="J218" s="1035">
        <f t="shared" si="99"/>
        <v>7133.164117538155</v>
      </c>
      <c r="K218" s="1035">
        <f t="shared" si="99"/>
        <v>7219.293949443471</v>
      </c>
      <c r="L218" s="1035">
        <f t="shared" si="99"/>
        <v>7303.605455179446</v>
      </c>
      <c r="M218" s="1035">
        <f t="shared" si="99"/>
        <v>7385.622156269425</v>
      </c>
      <c r="N218" s="1035">
        <f t="shared" si="99"/>
        <v>8738.689940761944</v>
      </c>
      <c r="O218" s="1036">
        <f t="shared" si="99"/>
        <v>8829.351589509037</v>
      </c>
    </row>
    <row r="219" spans="1:15" ht="15">
      <c r="A219" s="632"/>
      <c r="B219" s="263"/>
      <c r="C219" s="31"/>
      <c r="D219" s="31"/>
      <c r="E219" s="31"/>
      <c r="F219" s="31"/>
      <c r="G219" s="31"/>
      <c r="H219" s="31"/>
      <c r="I219" s="31"/>
      <c r="J219" s="31"/>
      <c r="K219" s="31"/>
      <c r="L219" s="31"/>
      <c r="M219" s="31"/>
      <c r="N219" s="31"/>
      <c r="O219" s="900"/>
    </row>
    <row r="220" spans="1:15" ht="15">
      <c r="A220" s="655" t="s">
        <v>581</v>
      </c>
      <c r="B220" s="263"/>
      <c r="C220" s="31"/>
      <c r="D220" s="31"/>
      <c r="E220" s="31"/>
      <c r="F220" s="31"/>
      <c r="G220" s="31"/>
      <c r="H220" s="31"/>
      <c r="I220" s="31"/>
      <c r="J220" s="31"/>
      <c r="K220" s="31"/>
      <c r="L220" s="31"/>
      <c r="M220" s="31"/>
      <c r="N220" s="31"/>
      <c r="O220" s="900"/>
    </row>
    <row r="221" spans="1:15" ht="15">
      <c r="A221" s="632" t="s">
        <v>565</v>
      </c>
      <c r="B221" s="263">
        <f>(B209*Calculations!L132)</f>
        <v>314.82836876399995</v>
      </c>
      <c r="C221" s="31">
        <f>(C209*Calculations!M132)</f>
        <v>355.3781204079961</v>
      </c>
      <c r="D221" s="31">
        <f>(D209*Calculations!N132)</f>
        <v>373.3924752805035</v>
      </c>
      <c r="E221" s="31">
        <f>(E209*Calculations!O132)</f>
        <v>390.39294301248026</v>
      </c>
      <c r="F221" s="31">
        <f>(F209*Calculations!P132)</f>
        <v>406.3795236039264</v>
      </c>
      <c r="G221" s="31">
        <f>(G209*Calculations!Q132)</f>
        <v>421.35221705484196</v>
      </c>
      <c r="H221" s="31">
        <f>(H209*Calculations!R132)</f>
        <v>435.3110233652268</v>
      </c>
      <c r="I221" s="31">
        <f>(I209*Calculations!S132)</f>
        <v>436.1436634300505</v>
      </c>
      <c r="J221" s="31">
        <f>(J209*Calculations!T132)</f>
        <v>428.4072020075641</v>
      </c>
      <c r="K221" s="31">
        <f>(K209*Calculations!U132)</f>
        <v>420.42434077327863</v>
      </c>
      <c r="L221" s="31">
        <f>(L209*Calculations!V132)</f>
        <v>412.2247419967902</v>
      </c>
      <c r="M221" s="31">
        <f>(M209*Calculations!W132)</f>
        <v>403.79441956655876</v>
      </c>
      <c r="N221" s="31">
        <f>(N209*Calculations!X132)</f>
        <v>395.14576452685804</v>
      </c>
      <c r="O221" s="900">
        <f>(O209*Calculations!Y132)</f>
        <v>386.2974304932803</v>
      </c>
    </row>
    <row r="222" spans="1:15" ht="15">
      <c r="A222" s="632" t="s">
        <v>70</v>
      </c>
      <c r="B222" s="31">
        <f aca="true" t="shared" si="100" ref="B222:O222">B221*B176</f>
        <v>0</v>
      </c>
      <c r="C222" s="31">
        <f t="shared" si="100"/>
        <v>0</v>
      </c>
      <c r="D222" s="31">
        <f t="shared" si="100"/>
        <v>373.3924752805035</v>
      </c>
      <c r="E222" s="31">
        <f t="shared" si="100"/>
        <v>390.39294301248026</v>
      </c>
      <c r="F222" s="31">
        <f t="shared" si="100"/>
        <v>406.3795236039264</v>
      </c>
      <c r="G222" s="31">
        <f t="shared" si="100"/>
        <v>421.35221705484196</v>
      </c>
      <c r="H222" s="31">
        <f t="shared" si="100"/>
        <v>435.3110233652268</v>
      </c>
      <c r="I222" s="31">
        <f t="shared" si="100"/>
        <v>436.1436634300505</v>
      </c>
      <c r="J222" s="31">
        <f t="shared" si="100"/>
        <v>428.4072020075641</v>
      </c>
      <c r="K222" s="31">
        <f t="shared" si="100"/>
        <v>420.42434077327863</v>
      </c>
      <c r="L222" s="31">
        <f t="shared" si="100"/>
        <v>412.2247419967902</v>
      </c>
      <c r="M222" s="31">
        <f t="shared" si="100"/>
        <v>403.79441956655876</v>
      </c>
      <c r="N222" s="31">
        <f t="shared" si="100"/>
        <v>395.14576452685804</v>
      </c>
      <c r="O222" s="900">
        <f t="shared" si="100"/>
        <v>386.2974304932803</v>
      </c>
    </row>
    <row r="223" spans="1:15" ht="15">
      <c r="A223" s="632" t="s">
        <v>614</v>
      </c>
      <c r="B223" s="263">
        <f>($M$171*10)</f>
        <v>6000</v>
      </c>
      <c r="C223" s="31">
        <f aca="true" t="shared" si="101" ref="C223:H223">B223</f>
        <v>6000</v>
      </c>
      <c r="D223" s="31">
        <f t="shared" si="101"/>
        <v>6000</v>
      </c>
      <c r="E223" s="31">
        <f t="shared" si="101"/>
        <v>6000</v>
      </c>
      <c r="F223" s="31">
        <f t="shared" si="101"/>
        <v>6000</v>
      </c>
      <c r="G223" s="31">
        <f t="shared" si="101"/>
        <v>6000</v>
      </c>
      <c r="H223" s="31">
        <f t="shared" si="101"/>
        <v>6000</v>
      </c>
      <c r="I223" s="31">
        <f>(H223*(1+ECO!O10)*(1+ECO!P10)*(1+ECO!Q10)*(1+ECO!R10)*(1+ECO!S10))</f>
        <v>7057.37369742336</v>
      </c>
      <c r="J223" s="31">
        <f>I223</f>
        <v>7057.37369742336</v>
      </c>
      <c r="K223" s="31">
        <f>J223</f>
        <v>7057.37369742336</v>
      </c>
      <c r="L223" s="31">
        <f>K223</f>
        <v>7057.37369742336</v>
      </c>
      <c r="M223" s="31">
        <f>L223</f>
        <v>7057.37369742336</v>
      </c>
      <c r="N223" s="31">
        <f>(M223*(1+ECO!T10)*(1+ECO!U10)*(1+ECO!V10)*(1+ECO!W10)*(1+ECO!X10))</f>
        <v>8261.170793655461</v>
      </c>
      <c r="O223" s="900">
        <f>N223</f>
        <v>8261.170793655461</v>
      </c>
    </row>
    <row r="224" spans="1:15" ht="15">
      <c r="A224" s="632" t="s">
        <v>615</v>
      </c>
      <c r="B224" s="263">
        <v>0</v>
      </c>
      <c r="C224" s="31">
        <f>B224</f>
        <v>0</v>
      </c>
      <c r="D224" s="31">
        <f aca="true" t="shared" si="102" ref="D224:O224">C224</f>
        <v>0</v>
      </c>
      <c r="E224" s="31">
        <f t="shared" si="102"/>
        <v>0</v>
      </c>
      <c r="F224" s="31">
        <f t="shared" si="102"/>
        <v>0</v>
      </c>
      <c r="G224" s="31">
        <f t="shared" si="102"/>
        <v>0</v>
      </c>
      <c r="H224" s="31">
        <f t="shared" si="102"/>
        <v>0</v>
      </c>
      <c r="I224" s="31">
        <f t="shared" si="102"/>
        <v>0</v>
      </c>
      <c r="J224" s="31">
        <f t="shared" si="102"/>
        <v>0</v>
      </c>
      <c r="K224" s="31">
        <f t="shared" si="102"/>
        <v>0</v>
      </c>
      <c r="L224" s="31">
        <f t="shared" si="102"/>
        <v>0</v>
      </c>
      <c r="M224" s="31">
        <f t="shared" si="102"/>
        <v>0</v>
      </c>
      <c r="N224" s="31">
        <f t="shared" si="102"/>
        <v>0</v>
      </c>
      <c r="O224" s="900">
        <f t="shared" si="102"/>
        <v>0</v>
      </c>
    </row>
    <row r="225" spans="1:15" ht="15">
      <c r="A225" s="1038" t="s">
        <v>616</v>
      </c>
      <c r="B225" s="263">
        <f>B223-B224</f>
        <v>6000</v>
      </c>
      <c r="C225" s="31">
        <f aca="true" t="shared" si="103" ref="C225:O225">C223-C224</f>
        <v>6000</v>
      </c>
      <c r="D225" s="31">
        <f t="shared" si="103"/>
        <v>6000</v>
      </c>
      <c r="E225" s="31">
        <f t="shared" si="103"/>
        <v>6000</v>
      </c>
      <c r="F225" s="31">
        <f t="shared" si="103"/>
        <v>6000</v>
      </c>
      <c r="G225" s="31">
        <f t="shared" si="103"/>
        <v>6000</v>
      </c>
      <c r="H225" s="31">
        <f t="shared" si="103"/>
        <v>6000</v>
      </c>
      <c r="I225" s="31">
        <f t="shared" si="103"/>
        <v>7057.37369742336</v>
      </c>
      <c r="J225" s="31">
        <f t="shared" si="103"/>
        <v>7057.37369742336</v>
      </c>
      <c r="K225" s="31">
        <f t="shared" si="103"/>
        <v>7057.37369742336</v>
      </c>
      <c r="L225" s="31">
        <f t="shared" si="103"/>
        <v>7057.37369742336</v>
      </c>
      <c r="M225" s="31">
        <f t="shared" si="103"/>
        <v>7057.37369742336</v>
      </c>
      <c r="N225" s="31">
        <f t="shared" si="103"/>
        <v>8261.170793655461</v>
      </c>
      <c r="O225" s="900">
        <f t="shared" si="103"/>
        <v>8261.170793655461</v>
      </c>
    </row>
    <row r="226" spans="1:15" ht="15">
      <c r="A226" s="632"/>
      <c r="B226" s="263"/>
      <c r="C226" s="31"/>
      <c r="D226" s="31"/>
      <c r="E226" s="31"/>
      <c r="F226" s="31"/>
      <c r="G226" s="31"/>
      <c r="H226" s="31"/>
      <c r="I226" s="31"/>
      <c r="J226" s="31"/>
      <c r="K226" s="31"/>
      <c r="L226" s="31"/>
      <c r="M226" s="31"/>
      <c r="N226" s="31"/>
      <c r="O226" s="900"/>
    </row>
    <row r="227" spans="1:15" ht="15">
      <c r="A227" s="987" t="s">
        <v>617</v>
      </c>
      <c r="B227" s="1034">
        <f>(B222*B225)/1000</f>
        <v>0</v>
      </c>
      <c r="C227" s="1035">
        <f aca="true" t="shared" si="104" ref="C227:O227">(C222*C225)/1000</f>
        <v>0</v>
      </c>
      <c r="D227" s="1035">
        <f t="shared" si="104"/>
        <v>2240.354851683021</v>
      </c>
      <c r="E227" s="1035">
        <f t="shared" si="104"/>
        <v>2342.3576580748813</v>
      </c>
      <c r="F227" s="1035">
        <f t="shared" si="104"/>
        <v>2438.2771416235582</v>
      </c>
      <c r="G227" s="1035">
        <f t="shared" si="104"/>
        <v>2528.1133023290517</v>
      </c>
      <c r="H227" s="1035">
        <f t="shared" si="104"/>
        <v>2611.866140191361</v>
      </c>
      <c r="I227" s="1035">
        <f t="shared" si="104"/>
        <v>3078.028818589105</v>
      </c>
      <c r="J227" s="1035">
        <f t="shared" si="104"/>
        <v>3023.4297192349186</v>
      </c>
      <c r="K227" s="1035">
        <f t="shared" si="104"/>
        <v>2967.091684329892</v>
      </c>
      <c r="L227" s="1035">
        <f t="shared" si="104"/>
        <v>2909.224051595278</v>
      </c>
      <c r="M227" s="1035">
        <f t="shared" si="104"/>
        <v>2849.728115815364</v>
      </c>
      <c r="N227" s="1035">
        <f t="shared" si="104"/>
        <v>3264.366649145938</v>
      </c>
      <c r="O227" s="1036">
        <f t="shared" si="104"/>
        <v>3191.269050455238</v>
      </c>
    </row>
    <row r="228" spans="1:15" ht="15">
      <c r="A228" s="632"/>
      <c r="B228" s="263"/>
      <c r="C228" s="31"/>
      <c r="D228" s="31"/>
      <c r="E228" s="31"/>
      <c r="F228" s="31"/>
      <c r="G228" s="31"/>
      <c r="H228" s="31"/>
      <c r="I228" s="31"/>
      <c r="J228" s="31"/>
      <c r="K228" s="31"/>
      <c r="L228" s="31"/>
      <c r="M228" s="31"/>
      <c r="N228" s="31"/>
      <c r="O228" s="900"/>
    </row>
    <row r="229" spans="1:15" ht="15">
      <c r="A229" s="987" t="s">
        <v>582</v>
      </c>
      <c r="B229" s="31">
        <f>(B227+B218+B206+B197+B185)</f>
        <v>0</v>
      </c>
      <c r="C229" s="31">
        <f aca="true" t="shared" si="105" ref="C229:O229">(C227+C218+C206+C197+C185)</f>
        <v>0</v>
      </c>
      <c r="D229" s="31">
        <f>(D227+D218+D206+D197+D185)</f>
        <v>20152.94787066409</v>
      </c>
      <c r="E229" s="31">
        <f t="shared" si="105"/>
        <v>21482.19512354806</v>
      </c>
      <c r="F229" s="31">
        <f t="shared" si="105"/>
        <v>22808.505331958462</v>
      </c>
      <c r="G229" s="31">
        <f t="shared" si="105"/>
        <v>24131.88140568224</v>
      </c>
      <c r="H229" s="31">
        <f t="shared" si="105"/>
        <v>25452.67645832414</v>
      </c>
      <c r="I229" s="31">
        <f t="shared" si="105"/>
        <v>46005.35893835473</v>
      </c>
      <c r="J229" s="31">
        <f t="shared" si="105"/>
        <v>46183.26071387122</v>
      </c>
      <c r="K229" s="31">
        <f t="shared" si="105"/>
        <v>46344.00799160762</v>
      </c>
      <c r="L229" s="31">
        <f t="shared" si="105"/>
        <v>46489.793665353995</v>
      </c>
      <c r="M229" s="31">
        <f t="shared" si="105"/>
        <v>46617.97481572159</v>
      </c>
      <c r="N229" s="31">
        <f t="shared" si="105"/>
        <v>69819.69928341902</v>
      </c>
      <c r="O229" s="900">
        <f t="shared" si="105"/>
        <v>69963.10414810415</v>
      </c>
    </row>
    <row r="230" spans="1:15" ht="15">
      <c r="A230" s="632"/>
      <c r="B230" s="263"/>
      <c r="C230" s="31"/>
      <c r="D230" s="31"/>
      <c r="E230" s="31"/>
      <c r="F230" s="31"/>
      <c r="G230" s="31"/>
      <c r="H230" s="31"/>
      <c r="I230" s="31"/>
      <c r="J230" s="31"/>
      <c r="K230" s="31"/>
      <c r="L230" s="31"/>
      <c r="M230" s="31"/>
      <c r="N230" s="31"/>
      <c r="O230" s="900"/>
    </row>
    <row r="231" spans="1:15" ht="15">
      <c r="A231" s="632" t="s">
        <v>86</v>
      </c>
      <c r="B231" s="31">
        <f aca="true" t="shared" si="106" ref="B231:I231">7%*B229</f>
        <v>0</v>
      </c>
      <c r="C231" s="31">
        <f t="shared" si="106"/>
        <v>0</v>
      </c>
      <c r="D231" s="31">
        <f>7%*D229</f>
        <v>1410.7063509464865</v>
      </c>
      <c r="E231" s="31">
        <f t="shared" si="106"/>
        <v>1503.7536586483643</v>
      </c>
      <c r="F231" s="31">
        <f t="shared" si="106"/>
        <v>1596.5953732370924</v>
      </c>
      <c r="G231" s="31">
        <f t="shared" si="106"/>
        <v>1689.231698397757</v>
      </c>
      <c r="H231" s="31">
        <f t="shared" si="106"/>
        <v>1781.6873520826898</v>
      </c>
      <c r="I231" s="31">
        <f t="shared" si="106"/>
        <v>3220.3751256848313</v>
      </c>
      <c r="J231" s="31">
        <f aca="true" t="shared" si="107" ref="J231:N231">7%*J229</f>
        <v>3232.828249970986</v>
      </c>
      <c r="K231" s="31">
        <f t="shared" si="107"/>
        <v>3244.0805594125336</v>
      </c>
      <c r="L231" s="31">
        <f t="shared" si="107"/>
        <v>3254.28555657478</v>
      </c>
      <c r="M231" s="31">
        <f t="shared" si="107"/>
        <v>3263.2582371005115</v>
      </c>
      <c r="N231" s="31">
        <f t="shared" si="107"/>
        <v>4887.378949839332</v>
      </c>
      <c r="O231" s="900">
        <f>7%*O229</f>
        <v>4897.417290367291</v>
      </c>
    </row>
    <row r="232" spans="1:15" ht="15">
      <c r="A232" s="632"/>
      <c r="B232" s="454"/>
      <c r="C232" s="41"/>
      <c r="D232" s="41"/>
      <c r="E232" s="41"/>
      <c r="F232" s="41"/>
      <c r="G232" s="41"/>
      <c r="H232" s="41"/>
      <c r="I232" s="41"/>
      <c r="J232" s="41"/>
      <c r="K232" s="41"/>
      <c r="L232" s="41"/>
      <c r="M232" s="41"/>
      <c r="N232" s="41"/>
      <c r="O232" s="905"/>
    </row>
    <row r="233" spans="1:15" ht="15">
      <c r="A233" s="633" t="s">
        <v>172</v>
      </c>
      <c r="B233" s="45">
        <f aca="true" t="shared" si="108" ref="B233:I233">B229+B231</f>
        <v>0</v>
      </c>
      <c r="C233" s="45">
        <f t="shared" si="108"/>
        <v>0</v>
      </c>
      <c r="D233" s="45">
        <f>D229+D231</f>
        <v>21563.654221610577</v>
      </c>
      <c r="E233" s="45">
        <f t="shared" si="108"/>
        <v>22985.948782196425</v>
      </c>
      <c r="F233" s="45">
        <f t="shared" si="108"/>
        <v>24405.100705195553</v>
      </c>
      <c r="G233" s="45">
        <f t="shared" si="108"/>
        <v>25821.11310408</v>
      </c>
      <c r="H233" s="45">
        <f t="shared" si="108"/>
        <v>27234.363810406827</v>
      </c>
      <c r="I233" s="45">
        <f t="shared" si="108"/>
        <v>49225.73406403956</v>
      </c>
      <c r="J233" s="45">
        <f aca="true" t="shared" si="109" ref="J233:N233">J229+J231</f>
        <v>49416.08896384221</v>
      </c>
      <c r="K233" s="45">
        <f t="shared" si="109"/>
        <v>49588.088551020155</v>
      </c>
      <c r="L233" s="45">
        <f t="shared" si="109"/>
        <v>49744.079221928776</v>
      </c>
      <c r="M233" s="45">
        <f t="shared" si="109"/>
        <v>49881.2330528221</v>
      </c>
      <c r="N233" s="45">
        <f t="shared" si="109"/>
        <v>74707.07823325835</v>
      </c>
      <c r="O233" s="874">
        <f>O229+O231</f>
        <v>74860.52143847143</v>
      </c>
    </row>
    <row r="234" spans="1:15" ht="15">
      <c r="A234" s="633" t="s">
        <v>69</v>
      </c>
      <c r="B234" s="271">
        <f>B233/(ECO!L$66*1000)</f>
        <v>0</v>
      </c>
      <c r="C234" s="271">
        <f>C233/(ECO!M$66*1000)</f>
        <v>0</v>
      </c>
      <c r="D234" s="271">
        <f>D233/(ECO!N$66*1000)</f>
        <v>0.0013011385218005488</v>
      </c>
      <c r="E234" s="271">
        <f>E233/(ECO!O$66*1000)</f>
        <v>0.001260605916042144</v>
      </c>
      <c r="F234" s="271">
        <f>F233/(ECO!P$66*1000)</f>
        <v>0.001217642097083646</v>
      </c>
      <c r="G234" s="271">
        <f>G233/(ECO!Q$66*1000)</f>
        <v>0.0011733739351115831</v>
      </c>
      <c r="H234" s="271">
        <f>H233/(ECO!R$66*1000)</f>
        <v>0.0011675428971949988</v>
      </c>
      <c r="I234" s="271">
        <f>I233/(ECO!S$66*1000)</f>
        <v>0.0019908656219885207</v>
      </c>
      <c r="J234" s="271">
        <f>J233/(ECO!T$66*1000)</f>
        <v>0.0018854379795717965</v>
      </c>
      <c r="K234" s="271">
        <f>K233/(ECO!U$66*1000)</f>
        <v>0.0017849061408730957</v>
      </c>
      <c r="L234" s="271">
        <f>L233/(ECO!V$66*1000)</f>
        <v>0.0016891707276037533</v>
      </c>
      <c r="M234" s="271">
        <f>M233/(ECO!W$66*1000)</f>
        <v>0.0015979510289148278</v>
      </c>
      <c r="N234" s="271">
        <f>N233/(ECO!X$66*1000)</f>
        <v>0.0022577828586078036</v>
      </c>
      <c r="O234" s="968">
        <f>O233/(ECO!Y$66*1000)</f>
        <v>0.0021343586692984954</v>
      </c>
    </row>
    <row r="235" spans="1:15" ht="15">
      <c r="A235" s="634" t="s">
        <v>71</v>
      </c>
      <c r="B235" s="964">
        <f>B233/('GGO (SQ)'!L$24*1000)</f>
        <v>0</v>
      </c>
      <c r="C235" s="964">
        <f>C233/('GGO (SQ)'!M$24*1000)</f>
        <v>0</v>
      </c>
      <c r="D235" s="964">
        <f>D233/('GGO (SQ)'!N$24*1000)</f>
        <v>0.008295532130257197</v>
      </c>
      <c r="E235" s="964">
        <f>E233/('GGO (SQ)'!O$24*1000)</f>
        <v>0.008037112655498583</v>
      </c>
      <c r="F235" s="964">
        <f>F233/('GGO (SQ)'!P$24*1000)</f>
        <v>0.007763192750248549</v>
      </c>
      <c r="G235" s="964">
        <f>G233/('GGO (SQ)'!Q$24*1000)</f>
        <v>0.007480956882326895</v>
      </c>
      <c r="H235" s="964">
        <f>H233/('GGO (SQ)'!R$24*1000)</f>
        <v>0.007443780546695208</v>
      </c>
      <c r="I235" s="964">
        <f>I233/('GGO (SQ)'!S$24*1000)</f>
        <v>0.012692952716038234</v>
      </c>
      <c r="J235" s="964">
        <f>J233/('GGO (SQ)'!T$24*1000)</f>
        <v>0.012020788776202728</v>
      </c>
      <c r="K235" s="964">
        <f>K233/('GGO (SQ)'!U$24*1000)</f>
        <v>0.01137983849760761</v>
      </c>
      <c r="L235" s="964">
        <f>L233/('GGO (SQ)'!V$24*1000)</f>
        <v>0.010769468284541993</v>
      </c>
      <c r="M235" s="964">
        <f>M233/('GGO (SQ)'!W$24*1000)</f>
        <v>0.010187888438347599</v>
      </c>
      <c r="N235" s="964">
        <f>N233/('GGO (SQ)'!X$24*1000)</f>
        <v>0.014394708889877915</v>
      </c>
      <c r="O235" s="971">
        <f>O233/('GGO (SQ)'!Y$24*1000)</f>
        <v>0.013607806257366925</v>
      </c>
    </row>
    <row r="236" spans="1:15" ht="15">
      <c r="A236" s="20"/>
      <c r="C236" s="20"/>
      <c r="D236" s="20"/>
      <c r="E236" s="20"/>
      <c r="F236" s="20"/>
      <c r="G236" s="20"/>
      <c r="H236" s="20"/>
      <c r="I236" s="20"/>
      <c r="J236" s="20"/>
      <c r="K236" s="20"/>
      <c r="L236" s="20"/>
      <c r="M236" s="20"/>
      <c r="N236" s="20"/>
      <c r="O236" s="20"/>
    </row>
    <row r="237" spans="1:16" ht="14.25" customHeight="1">
      <c r="A237" s="1117" t="s">
        <v>452</v>
      </c>
      <c r="B237" s="1118"/>
      <c r="C237" s="1118"/>
      <c r="D237" s="1118"/>
      <c r="E237" s="1118"/>
      <c r="F237" s="1118"/>
      <c r="G237" s="1118"/>
      <c r="H237" s="1118"/>
      <c r="I237" s="1118"/>
      <c r="J237" s="1118"/>
      <c r="K237" s="1118"/>
      <c r="L237" s="1118"/>
      <c r="M237" s="1118"/>
      <c r="N237" s="1118"/>
      <c r="O237" s="1119"/>
      <c r="P237" s="1113" t="s">
        <v>315</v>
      </c>
    </row>
    <row r="238" spans="1:16" ht="14.25" customHeight="1">
      <c r="A238" s="883"/>
      <c r="B238" s="263"/>
      <c r="C238" s="31"/>
      <c r="D238" s="31"/>
      <c r="E238" s="31"/>
      <c r="F238" s="31"/>
      <c r="G238" s="31"/>
      <c r="H238" s="31"/>
      <c r="I238" s="262"/>
      <c r="J238" s="31"/>
      <c r="K238" s="31"/>
      <c r="L238" s="31"/>
      <c r="M238" s="31"/>
      <c r="N238" s="31"/>
      <c r="O238" s="900"/>
      <c r="P238" s="1113"/>
    </row>
    <row r="239" spans="1:16" ht="15">
      <c r="A239" s="617" t="s">
        <v>601</v>
      </c>
      <c r="B239" s="991">
        <v>429.8976359999999</v>
      </c>
      <c r="C239" s="992">
        <v>468.96714828376145</v>
      </c>
      <c r="D239" s="992">
        <v>474.9190538714204</v>
      </c>
      <c r="E239" s="992">
        <v>477.14093987853204</v>
      </c>
      <c r="F239" s="992">
        <v>475.63280630509615</v>
      </c>
      <c r="G239" s="992">
        <v>470.3946531511128</v>
      </c>
      <c r="H239" s="992">
        <v>461.42648041658197</v>
      </c>
      <c r="I239" s="992">
        <v>436.6032457940442</v>
      </c>
      <c r="J239" s="992">
        <v>402.4461280120337</v>
      </c>
      <c r="K239" s="992">
        <v>367.80502700058264</v>
      </c>
      <c r="L239" s="992">
        <v>332.7344757420213</v>
      </c>
      <c r="M239" s="992">
        <v>297.2514751151673</v>
      </c>
      <c r="N239" s="992">
        <v>261.3974186506227</v>
      </c>
      <c r="O239" s="993">
        <v>225.21691474982399</v>
      </c>
      <c r="P239" s="1113"/>
    </row>
    <row r="240" spans="1:16" s="608" customFormat="1" ht="15">
      <c r="A240" s="617" t="s">
        <v>412</v>
      </c>
      <c r="B240" s="991">
        <f>B239*((50%*Calculations!L169)+Calculations!L170)</f>
        <v>128.61139180257743</v>
      </c>
      <c r="C240" s="992">
        <f>C239*((50%*Calculations!M169)+Calculations!M170)</f>
        <v>140.30019476111528</v>
      </c>
      <c r="D240" s="992">
        <f>D239*((50%*Calculations!N169)+Calculations!N170)</f>
        <v>142.08023358017792</v>
      </c>
      <c r="E240" s="992">
        <f>E239*((50%*Calculations!O169)+Calculations!O170)</f>
        <v>142.74486379211353</v>
      </c>
      <c r="F240" s="992">
        <f>F239*((50%*Calculations!P169)+Calculations!P170)</f>
        <v>142.2940946051838</v>
      </c>
      <c r="G240" s="992">
        <f>G239*((50%*Calculations!Q169)+Calculations!Q170)</f>
        <v>140.7264079017692</v>
      </c>
      <c r="H240" s="992">
        <f>H239*((50%*Calculations!R169)+Calculations!R170)</f>
        <v>137.43587719207895</v>
      </c>
      <c r="I240" s="992">
        <f>I239*((50%*Calculations!S169)+Calculations!S170)</f>
        <v>129.78031481227964</v>
      </c>
      <c r="J240" s="992">
        <f>J239*((50%*Calculations!T169)+Calculations!T170)</f>
        <v>119.38564387476978</v>
      </c>
      <c r="K240" s="992">
        <f>K239*((50%*Calculations!U169)+Calculations!U170)</f>
        <v>108.88867824352248</v>
      </c>
      <c r="L240" s="992">
        <f>L239*((50%*Calculations!V169)+Calculations!V170)</f>
        <v>98.3064008579802</v>
      </c>
      <c r="M240" s="992">
        <f>M239*((50%*Calculations!W169)+Calculations!W170)</f>
        <v>87.64459743770708</v>
      </c>
      <c r="N240" s="992">
        <f>N239*((50%*Calculations!X169)+Calculations!X170)</f>
        <v>76.91619043794573</v>
      </c>
      <c r="O240" s="993">
        <f>O239*((50%*Calculations!Y169)+Calculations!Y170)</f>
        <v>66.1349470162858</v>
      </c>
      <c r="P240" s="1113"/>
    </row>
    <row r="241" spans="1:16" s="608" customFormat="1" ht="15">
      <c r="A241" s="617"/>
      <c r="B241" s="34"/>
      <c r="C241" s="34"/>
      <c r="D241" s="34"/>
      <c r="E241" s="34"/>
      <c r="F241" s="34"/>
      <c r="G241" s="34"/>
      <c r="H241" s="34"/>
      <c r="I241" s="34"/>
      <c r="J241" s="34"/>
      <c r="K241" s="34"/>
      <c r="L241" s="34"/>
      <c r="M241" s="34"/>
      <c r="N241" s="34"/>
      <c r="O241" s="819"/>
      <c r="P241" s="914"/>
    </row>
    <row r="242" spans="1:16" s="35" customFormat="1" ht="15">
      <c r="A242" s="632" t="s">
        <v>74</v>
      </c>
      <c r="B242" s="269">
        <v>0</v>
      </c>
      <c r="C242" s="269">
        <v>0</v>
      </c>
      <c r="D242" s="269">
        <v>1</v>
      </c>
      <c r="E242" s="269">
        <v>1</v>
      </c>
      <c r="F242" s="269">
        <v>1</v>
      </c>
      <c r="G242" s="269">
        <v>1</v>
      </c>
      <c r="H242" s="269">
        <v>1</v>
      </c>
      <c r="I242" s="269">
        <v>1</v>
      </c>
      <c r="J242" s="269">
        <v>1</v>
      </c>
      <c r="K242" s="269">
        <v>1</v>
      </c>
      <c r="L242" s="269">
        <v>1</v>
      </c>
      <c r="M242" s="269">
        <v>1</v>
      </c>
      <c r="N242" s="269">
        <v>1</v>
      </c>
      <c r="O242" s="906">
        <v>1</v>
      </c>
      <c r="P242" s="1127" t="s">
        <v>453</v>
      </c>
    </row>
    <row r="243" spans="1:16" s="35" customFormat="1" ht="15">
      <c r="A243" s="32" t="s">
        <v>70</v>
      </c>
      <c r="B243" s="33">
        <f aca="true" t="shared" si="110" ref="B243:O243">B240*B242</f>
        <v>0</v>
      </c>
      <c r="C243" s="34">
        <f t="shared" si="110"/>
        <v>0</v>
      </c>
      <c r="D243" s="34">
        <f t="shared" si="110"/>
        <v>142.08023358017792</v>
      </c>
      <c r="E243" s="34">
        <f t="shared" si="110"/>
        <v>142.74486379211353</v>
      </c>
      <c r="F243" s="34">
        <f t="shared" si="110"/>
        <v>142.2940946051838</v>
      </c>
      <c r="G243" s="34">
        <f t="shared" si="110"/>
        <v>140.7264079017692</v>
      </c>
      <c r="H243" s="34">
        <f t="shared" si="110"/>
        <v>137.43587719207895</v>
      </c>
      <c r="I243" s="34">
        <f t="shared" si="110"/>
        <v>129.78031481227964</v>
      </c>
      <c r="J243" s="34">
        <f t="shared" si="110"/>
        <v>119.38564387476978</v>
      </c>
      <c r="K243" s="34">
        <f t="shared" si="110"/>
        <v>108.88867824352248</v>
      </c>
      <c r="L243" s="34">
        <f t="shared" si="110"/>
        <v>98.3064008579802</v>
      </c>
      <c r="M243" s="34">
        <f t="shared" si="110"/>
        <v>87.64459743770708</v>
      </c>
      <c r="N243" s="34">
        <f t="shared" si="110"/>
        <v>76.91619043794573</v>
      </c>
      <c r="O243" s="819">
        <f t="shared" si="110"/>
        <v>66.1349470162858</v>
      </c>
      <c r="P243" s="1127"/>
    </row>
    <row r="244" spans="1:16" s="35" customFormat="1" ht="15">
      <c r="A244" s="32"/>
      <c r="B244" s="265"/>
      <c r="C244" s="38"/>
      <c r="D244" s="38"/>
      <c r="E244" s="38"/>
      <c r="F244" s="38"/>
      <c r="G244" s="38"/>
      <c r="H244" s="38"/>
      <c r="I244" s="38"/>
      <c r="J244" s="38"/>
      <c r="K244" s="38"/>
      <c r="L244" s="38"/>
      <c r="M244" s="38"/>
      <c r="N244" s="38"/>
      <c r="O244" s="989"/>
      <c r="P244" s="1127"/>
    </row>
    <row r="245" spans="1:15" s="35" customFormat="1" ht="15">
      <c r="A245" s="32" t="s">
        <v>176</v>
      </c>
      <c r="B245" s="33">
        <f>390*12</f>
        <v>4680</v>
      </c>
      <c r="C245" s="34">
        <f aca="true" t="shared" si="111" ref="C245:H245">390*12</f>
        <v>4680</v>
      </c>
      <c r="D245" s="34">
        <f t="shared" si="111"/>
        <v>4680</v>
      </c>
      <c r="E245" s="34">
        <f t="shared" si="111"/>
        <v>4680</v>
      </c>
      <c r="F245" s="34">
        <f t="shared" si="111"/>
        <v>4680</v>
      </c>
      <c r="G245" s="34">
        <f t="shared" si="111"/>
        <v>4680</v>
      </c>
      <c r="H245" s="34">
        <f t="shared" si="111"/>
        <v>4680</v>
      </c>
      <c r="I245" s="34">
        <f>(H245*(1+ECO!O10)*(1+ECO!P10)*(1+ECO!Q10)*(1+ECO!R10)*(1+ECO!S10))</f>
        <v>5504.751483990221</v>
      </c>
      <c r="J245" s="34">
        <f>I245</f>
        <v>5504.751483990221</v>
      </c>
      <c r="K245" s="34">
        <f>J245</f>
        <v>5504.751483990221</v>
      </c>
      <c r="L245" s="34">
        <f>K245</f>
        <v>5504.751483990221</v>
      </c>
      <c r="M245" s="34">
        <f>L245</f>
        <v>5504.751483990221</v>
      </c>
      <c r="N245" s="34">
        <f>(M245*(1+ECO!T10)*(1+ECO!U10)*(1+ECO!V10)*(1+ECO!W10)*(1+ECO!X10))</f>
        <v>6443.71321905126</v>
      </c>
      <c r="O245" s="819">
        <f>N245</f>
        <v>6443.71321905126</v>
      </c>
    </row>
    <row r="246" spans="1:15" s="35" customFormat="1" ht="15">
      <c r="A246" s="32" t="s">
        <v>177</v>
      </c>
      <c r="B246" s="33">
        <f>B243*B245/1000</f>
        <v>0</v>
      </c>
      <c r="C246" s="34">
        <f aca="true" t="shared" si="112" ref="C246:H246">C243*C245/1000</f>
        <v>0</v>
      </c>
      <c r="D246" s="34">
        <f t="shared" si="112"/>
        <v>664.9354931552326</v>
      </c>
      <c r="E246" s="34">
        <f t="shared" si="112"/>
        <v>668.0459625470913</v>
      </c>
      <c r="F246" s="34">
        <f>F243*F245/1000</f>
        <v>665.9363627522602</v>
      </c>
      <c r="G246" s="34">
        <f t="shared" si="112"/>
        <v>658.5995889802799</v>
      </c>
      <c r="H246" s="34">
        <f t="shared" si="112"/>
        <v>643.1999052589294</v>
      </c>
      <c r="I246" s="34">
        <f>I243*I245/1000</f>
        <v>714.4083805556144</v>
      </c>
      <c r="J246" s="34">
        <f aca="true" t="shared" si="113" ref="J246:O246">J243*J245/1000</f>
        <v>657.188300286767</v>
      </c>
      <c r="K246" s="34">
        <f t="shared" si="113"/>
        <v>599.405113150764</v>
      </c>
      <c r="L246" s="34">
        <f t="shared" si="113"/>
        <v>541.152306008704</v>
      </c>
      <c r="M246" s="34">
        <f t="shared" si="113"/>
        <v>482.46172780894346</v>
      </c>
      <c r="N246" s="34">
        <f t="shared" si="113"/>
        <v>495.625873084055</v>
      </c>
      <c r="O246" s="819">
        <f t="shared" si="113"/>
        <v>426.1546323300956</v>
      </c>
    </row>
    <row r="247" spans="1:15" s="35" customFormat="1" ht="15">
      <c r="A247" s="32" t="s">
        <v>86</v>
      </c>
      <c r="B247" s="33">
        <f>5%*B246</f>
        <v>0</v>
      </c>
      <c r="C247" s="34">
        <f>5%*C246</f>
        <v>0</v>
      </c>
      <c r="D247" s="34">
        <f aca="true" t="shared" si="114" ref="D247:I247">10%*D246</f>
        <v>66.49354931552327</v>
      </c>
      <c r="E247" s="34">
        <f t="shared" si="114"/>
        <v>66.80459625470914</v>
      </c>
      <c r="F247" s="34">
        <f t="shared" si="114"/>
        <v>66.59363627522602</v>
      </c>
      <c r="G247" s="34">
        <f t="shared" si="114"/>
        <v>65.859958898028</v>
      </c>
      <c r="H247" s="34">
        <f t="shared" si="114"/>
        <v>64.31999052589295</v>
      </c>
      <c r="I247" s="34">
        <f t="shared" si="114"/>
        <v>71.44083805556144</v>
      </c>
      <c r="J247" s="34">
        <f aca="true" t="shared" si="115" ref="J247:O247">10%*J246</f>
        <v>65.7188300286767</v>
      </c>
      <c r="K247" s="34">
        <f t="shared" si="115"/>
        <v>59.94051131507641</v>
      </c>
      <c r="L247" s="34">
        <f t="shared" si="115"/>
        <v>54.115230600870404</v>
      </c>
      <c r="M247" s="34">
        <f t="shared" si="115"/>
        <v>48.24617278089435</v>
      </c>
      <c r="N247" s="34">
        <f t="shared" si="115"/>
        <v>49.562587308405504</v>
      </c>
      <c r="O247" s="819">
        <f t="shared" si="115"/>
        <v>42.615463233009564</v>
      </c>
    </row>
    <row r="248" spans="1:15" s="35" customFormat="1" ht="15">
      <c r="A248" s="32"/>
      <c r="B248" s="33"/>
      <c r="C248" s="34"/>
      <c r="D248" s="34"/>
      <c r="E248" s="34"/>
      <c r="F248" s="34"/>
      <c r="G248" s="34"/>
      <c r="H248" s="34"/>
      <c r="I248" s="34"/>
      <c r="J248" s="34"/>
      <c r="K248" s="34"/>
      <c r="L248" s="34"/>
      <c r="M248" s="34"/>
      <c r="N248" s="34"/>
      <c r="O248" s="819"/>
    </row>
    <row r="249" spans="1:15" ht="15">
      <c r="A249" s="43" t="s">
        <v>289</v>
      </c>
      <c r="B249" s="44">
        <f aca="true" t="shared" si="116" ref="B249:O249">B246+B247</f>
        <v>0</v>
      </c>
      <c r="C249" s="45">
        <f t="shared" si="116"/>
        <v>0</v>
      </c>
      <c r="D249" s="45">
        <f t="shared" si="116"/>
        <v>731.4290424707559</v>
      </c>
      <c r="E249" s="45">
        <f t="shared" si="116"/>
        <v>734.8505588018005</v>
      </c>
      <c r="F249" s="45">
        <f t="shared" si="116"/>
        <v>732.5299990274862</v>
      </c>
      <c r="G249" s="45">
        <f t="shared" si="116"/>
        <v>724.459547878308</v>
      </c>
      <c r="H249" s="45">
        <f t="shared" si="116"/>
        <v>707.5198957848224</v>
      </c>
      <c r="I249" s="45">
        <f t="shared" si="116"/>
        <v>785.8492186111758</v>
      </c>
      <c r="J249" s="45">
        <f t="shared" si="116"/>
        <v>722.9071303154437</v>
      </c>
      <c r="K249" s="45">
        <f t="shared" si="116"/>
        <v>659.3456244658404</v>
      </c>
      <c r="L249" s="45">
        <f t="shared" si="116"/>
        <v>595.2675366095744</v>
      </c>
      <c r="M249" s="45">
        <f t="shared" si="116"/>
        <v>530.7079005898378</v>
      </c>
      <c r="N249" s="45">
        <f t="shared" si="116"/>
        <v>545.1884603924605</v>
      </c>
      <c r="O249" s="874">
        <f t="shared" si="116"/>
        <v>468.77009556310514</v>
      </c>
    </row>
    <row r="250" spans="1:15" ht="15">
      <c r="A250" s="43" t="s">
        <v>69</v>
      </c>
      <c r="B250" s="270">
        <f>B249/(ECO!L$66*1000)</f>
        <v>0</v>
      </c>
      <c r="C250" s="271">
        <f>C249/(ECO!M$66*1000)</f>
        <v>0</v>
      </c>
      <c r="D250" s="271">
        <f>D249/(ECO!N$66*1000)</f>
        <v>4.413400870473191E-05</v>
      </c>
      <c r="E250" s="271">
        <f>E249/(ECO!O$66*1000)</f>
        <v>4.030101043947019E-05</v>
      </c>
      <c r="F250" s="271">
        <f>F249/(ECO!P$66*1000)</f>
        <v>3.654807144486078E-05</v>
      </c>
      <c r="G250" s="271">
        <f>G249/(ECO!Q$66*1000)</f>
        <v>3.292119697151282E-05</v>
      </c>
      <c r="H250" s="271">
        <f>H249/(ECO!R$66*1000)</f>
        <v>3.0331526548531317E-05</v>
      </c>
      <c r="I250" s="271">
        <f>I249/(ECO!S$66*1000)</f>
        <v>3.1782567048450514E-05</v>
      </c>
      <c r="J250" s="271">
        <f>J249/(ECO!T$66*1000)</f>
        <v>2.7582040339074615E-05</v>
      </c>
      <c r="K250" s="271">
        <f>K249/(ECO!U$66*1000)</f>
        <v>2.3732918296619307E-05</v>
      </c>
      <c r="L250" s="271">
        <f>L249/(ECO!V$66*1000)</f>
        <v>2.021363172585228E-05</v>
      </c>
      <c r="M250" s="271">
        <f>M249/(ECO!W$66*1000)</f>
        <v>1.7001288538772E-05</v>
      </c>
      <c r="N250" s="271">
        <f>N249/(ECO!X$66*1000)</f>
        <v>1.6476580127274913E-05</v>
      </c>
      <c r="O250" s="968">
        <f>O249/(ECO!Y$66*1000)</f>
        <v>1.3365168958852861E-05</v>
      </c>
    </row>
    <row r="251" spans="1:15" ht="15">
      <c r="A251" s="969" t="s">
        <v>71</v>
      </c>
      <c r="B251" s="970">
        <f>B249/('GGO (SQ)'!L$24*1000)</f>
        <v>0</v>
      </c>
      <c r="C251" s="964">
        <f>C249/('GGO (SQ)'!M$24*1000)</f>
        <v>0</v>
      </c>
      <c r="D251" s="964">
        <f>D249/('GGO (SQ)'!N$24*1000)</f>
        <v>0.00028138056103397423</v>
      </c>
      <c r="E251" s="964">
        <f>E249/('GGO (SQ)'!O$24*1000)</f>
        <v>0.00025694291682319676</v>
      </c>
      <c r="F251" s="964">
        <f>F249/('GGO (SQ)'!P$24*1000)</f>
        <v>0.00023301569809048612</v>
      </c>
      <c r="G251" s="964">
        <f>G249/('GGO (SQ)'!Q$24*1000)</f>
        <v>0.00020989221567722805</v>
      </c>
      <c r="H251" s="964">
        <f>H249/('GGO (SQ)'!R$24*1000)</f>
        <v>0.00019338152612290483</v>
      </c>
      <c r="I251" s="964">
        <f>I249/('GGO (SQ)'!S$24*1000)</f>
        <v>0.00020263277254110084</v>
      </c>
      <c r="J251" s="964">
        <f>J249/('GGO (SQ)'!T$24*1000)</f>
        <v>0.00017585191585459597</v>
      </c>
      <c r="K251" s="964">
        <f>K249/('GGO (SQ)'!U$24*1000)</f>
        <v>0.00015131147297209422</v>
      </c>
      <c r="L251" s="964">
        <f>L249/('GGO (SQ)'!V$24*1000)</f>
        <v>0.00012887392744236794</v>
      </c>
      <c r="M251" s="964">
        <f>M249/('GGO (SQ)'!W$24*1000)</f>
        <v>0.0001083933285857904</v>
      </c>
      <c r="N251" s="964">
        <f>N249/('GGO (SQ)'!X$24*1000)</f>
        <v>0.0001050480003108525</v>
      </c>
      <c r="O251" s="971">
        <f>O249/('GGO (SQ)'!Y$24*1000)</f>
        <v>8.521090311818116E-05</v>
      </c>
    </row>
    <row r="252" spans="1:15" ht="15">
      <c r="A252" s="46"/>
      <c r="B252" s="47"/>
      <c r="C252" s="47"/>
      <c r="D252" s="47"/>
      <c r="E252" s="47"/>
      <c r="F252" s="47"/>
      <c r="G252" s="47"/>
      <c r="H252" s="47"/>
      <c r="I252" s="47"/>
      <c r="J252" s="47"/>
      <c r="K252" s="47"/>
      <c r="L252" s="47"/>
      <c r="M252" s="47"/>
      <c r="N252" s="47"/>
      <c r="O252" s="47"/>
    </row>
    <row r="253" spans="1:15" ht="15">
      <c r="A253" s="1129" t="s">
        <v>372</v>
      </c>
      <c r="B253" s="1130"/>
      <c r="C253" s="1130"/>
      <c r="D253" s="1130"/>
      <c r="E253" s="1130"/>
      <c r="F253" s="1130"/>
      <c r="G253" s="1130"/>
      <c r="H253" s="1130"/>
      <c r="I253" s="1130"/>
      <c r="J253" s="1130"/>
      <c r="K253" s="1130"/>
      <c r="L253" s="1130"/>
      <c r="M253" s="1130"/>
      <c r="N253" s="1130"/>
      <c r="O253" s="1130"/>
    </row>
    <row r="254" spans="1:15" ht="14.25" customHeight="1">
      <c r="A254" s="1117" t="s">
        <v>426</v>
      </c>
      <c r="B254" s="1118"/>
      <c r="C254" s="1118"/>
      <c r="D254" s="1118"/>
      <c r="E254" s="1118"/>
      <c r="F254" s="1118"/>
      <c r="G254" s="1118"/>
      <c r="H254" s="1118"/>
      <c r="I254" s="1118"/>
      <c r="J254" s="1118"/>
      <c r="K254" s="1118"/>
      <c r="L254" s="1118"/>
      <c r="M254" s="1118"/>
      <c r="N254" s="1118"/>
      <c r="O254" s="1119"/>
    </row>
    <row r="255" spans="1:15" ht="15">
      <c r="A255" s="406" t="s">
        <v>314</v>
      </c>
      <c r="B255" s="34">
        <f>POP!L84+POP!L85</f>
        <v>16609.639199999998</v>
      </c>
      <c r="C255" s="34">
        <f>POP!M84+POP!M85</f>
        <v>17103.492000000002</v>
      </c>
      <c r="D255" s="34">
        <f>POP!N84+POP!N85</f>
        <v>17597.4705</v>
      </c>
      <c r="E255" s="34">
        <f>POP!O84+POP!O85</f>
        <v>18095.8944</v>
      </c>
      <c r="F255" s="34">
        <f>POP!P84+POP!P85</f>
        <v>18602.6328</v>
      </c>
      <c r="G255" s="34">
        <f>POP!Q84+POP!Q85</f>
        <v>19120.1328</v>
      </c>
      <c r="H255" s="34">
        <f>POP!R84+POP!R85</f>
        <v>19646.5425</v>
      </c>
      <c r="I255" s="990">
        <f>POP!S84+POP!S85</f>
        <v>20183.944199999998</v>
      </c>
      <c r="J255" s="990">
        <f>POP!T84+POP!T85</f>
        <v>20729.898</v>
      </c>
      <c r="K255" s="990">
        <f>POP!U84+POP!U85</f>
        <v>21276.9768</v>
      </c>
      <c r="L255" s="990">
        <f>POP!V84+POP!V85</f>
        <v>21821.529599999998</v>
      </c>
      <c r="M255" s="990">
        <f>POP!W84+POP!W85</f>
        <v>22371.525</v>
      </c>
      <c r="N255" s="990">
        <f>POP!X84+POP!X85</f>
        <v>22919.9307</v>
      </c>
      <c r="O255" s="693">
        <f>POP!Y84+POP!Y85</f>
        <v>23462.7888</v>
      </c>
    </row>
    <row r="256" spans="1:15" ht="15">
      <c r="A256" s="644" t="s">
        <v>473</v>
      </c>
      <c r="B256" s="34">
        <f>POP!L103</f>
        <v>513.543</v>
      </c>
      <c r="C256" s="34">
        <f>POP!M103</f>
        <v>1160.155</v>
      </c>
      <c r="D256" s="34">
        <f>POP!N103</f>
        <v>1190.9511591860446</v>
      </c>
      <c r="E256" s="34">
        <f>POP!O103</f>
        <v>1222.0185672812659</v>
      </c>
      <c r="F256" s="34">
        <f>POP!P103</f>
        <v>1253.617960134277</v>
      </c>
      <c r="G256" s="34">
        <f>POP!Q103</f>
        <v>1285.9123499170978</v>
      </c>
      <c r="H256" s="34">
        <f>POP!R103</f>
        <v>1318.7750423032883</v>
      </c>
      <c r="I256" s="34">
        <f>POP!S103</f>
        <v>1352.344051079383</v>
      </c>
      <c r="J256" s="34">
        <f>POP!T103</f>
        <v>1386.4540643413643</v>
      </c>
      <c r="K256" s="34">
        <f>POP!U103</f>
        <v>1420.6080711778025</v>
      </c>
      <c r="L256" s="34">
        <f>POP!V103</f>
        <v>1454.5641218625094</v>
      </c>
      <c r="M256" s="34">
        <f>POP!W103</f>
        <v>1488.8550075528071</v>
      </c>
      <c r="N256" s="34">
        <f>POP!X103</f>
        <v>1523.0132853200987</v>
      </c>
      <c r="O256" s="819">
        <f>POP!Y103</f>
        <v>1556.778279049069</v>
      </c>
    </row>
    <row r="257" spans="1:15" ht="15">
      <c r="A257" s="644"/>
      <c r="B257" s="34"/>
      <c r="C257" s="34"/>
      <c r="D257" s="34"/>
      <c r="E257" s="34"/>
      <c r="F257" s="34"/>
      <c r="G257" s="34"/>
      <c r="H257" s="34"/>
      <c r="I257" s="34"/>
      <c r="J257" s="34"/>
      <c r="K257" s="34"/>
      <c r="L257" s="34"/>
      <c r="M257" s="34"/>
      <c r="N257" s="34"/>
      <c r="O257" s="819"/>
    </row>
    <row r="258" spans="1:15" s="35" customFormat="1" ht="15">
      <c r="A258" s="632" t="s">
        <v>74</v>
      </c>
      <c r="B258" s="269">
        <v>0</v>
      </c>
      <c r="C258" s="269">
        <v>0</v>
      </c>
      <c r="D258" s="269">
        <v>0.25</v>
      </c>
      <c r="E258" s="269">
        <v>0.5</v>
      </c>
      <c r="F258" s="269">
        <v>0.75</v>
      </c>
      <c r="G258" s="269">
        <v>1</v>
      </c>
      <c r="H258" s="269">
        <v>1</v>
      </c>
      <c r="I258" s="269">
        <v>1</v>
      </c>
      <c r="J258" s="269">
        <v>1</v>
      </c>
      <c r="K258" s="269">
        <v>1</v>
      </c>
      <c r="L258" s="269">
        <v>1</v>
      </c>
      <c r="M258" s="269">
        <v>1</v>
      </c>
      <c r="N258" s="269">
        <v>1</v>
      </c>
      <c r="O258" s="906">
        <v>1</v>
      </c>
    </row>
    <row r="259" spans="1:15" s="35" customFormat="1" ht="15">
      <c r="A259" s="632"/>
      <c r="B259" s="269"/>
      <c r="C259" s="269"/>
      <c r="D259" s="269"/>
      <c r="E259" s="269"/>
      <c r="F259" s="269"/>
      <c r="G259" s="269"/>
      <c r="H259" s="269"/>
      <c r="I259" s="269"/>
      <c r="J259" s="269"/>
      <c r="K259" s="269"/>
      <c r="L259" s="269"/>
      <c r="M259" s="269"/>
      <c r="N259" s="269"/>
      <c r="O259" s="906"/>
    </row>
    <row r="260" spans="1:15" s="35" customFormat="1" ht="15">
      <c r="A260" s="994" t="s">
        <v>602</v>
      </c>
      <c r="B260" s="269"/>
      <c r="C260" s="269"/>
      <c r="D260" s="269"/>
      <c r="E260" s="269"/>
      <c r="F260" s="269"/>
      <c r="G260" s="269"/>
      <c r="H260" s="269"/>
      <c r="I260" s="269"/>
      <c r="J260" s="269"/>
      <c r="K260" s="269"/>
      <c r="L260" s="269"/>
      <c r="M260" s="269"/>
      <c r="N260" s="269"/>
      <c r="O260" s="906"/>
    </row>
    <row r="261" spans="1:15" s="35" customFormat="1" ht="15">
      <c r="A261" s="632" t="s">
        <v>70</v>
      </c>
      <c r="B261" s="34">
        <f>B256*B258</f>
        <v>0</v>
      </c>
      <c r="C261" s="34">
        <f aca="true" t="shared" si="117" ref="C261:O261">C256*C258</f>
        <v>0</v>
      </c>
      <c r="D261" s="34">
        <f t="shared" si="117"/>
        <v>297.73778979651115</v>
      </c>
      <c r="E261" s="34">
        <f t="shared" si="117"/>
        <v>611.0092836406329</v>
      </c>
      <c r="F261" s="34">
        <f t="shared" si="117"/>
        <v>940.2134701007077</v>
      </c>
      <c r="G261" s="34">
        <f t="shared" si="117"/>
        <v>1285.9123499170978</v>
      </c>
      <c r="H261" s="34">
        <f t="shared" si="117"/>
        <v>1318.7750423032883</v>
      </c>
      <c r="I261" s="34">
        <f t="shared" si="117"/>
        <v>1352.344051079383</v>
      </c>
      <c r="J261" s="34">
        <f t="shared" si="117"/>
        <v>1386.4540643413643</v>
      </c>
      <c r="K261" s="34">
        <f t="shared" si="117"/>
        <v>1420.6080711778025</v>
      </c>
      <c r="L261" s="34">
        <f t="shared" si="117"/>
        <v>1454.5641218625094</v>
      </c>
      <c r="M261" s="34">
        <f t="shared" si="117"/>
        <v>1488.8550075528071</v>
      </c>
      <c r="N261" s="34">
        <f t="shared" si="117"/>
        <v>1523.0132853200987</v>
      </c>
      <c r="O261" s="819">
        <f t="shared" si="117"/>
        <v>1556.778279049069</v>
      </c>
    </row>
    <row r="262" spans="1:16" s="35" customFormat="1" ht="15">
      <c r="A262" s="632"/>
      <c r="B262" s="995"/>
      <c r="C262" s="38"/>
      <c r="D262" s="38"/>
      <c r="E262" s="38"/>
      <c r="F262" s="38"/>
      <c r="G262" s="38"/>
      <c r="H262" s="38"/>
      <c r="I262" s="38"/>
      <c r="J262" s="38"/>
      <c r="K262" s="38"/>
      <c r="L262" s="38"/>
      <c r="M262" s="38"/>
      <c r="N262" s="38"/>
      <c r="O262" s="989"/>
      <c r="P262" s="566"/>
    </row>
    <row r="263" spans="1:16" s="35" customFormat="1" ht="15">
      <c r="A263" s="632" t="s">
        <v>604</v>
      </c>
      <c r="B263" s="34">
        <f>15*80</f>
        <v>1200</v>
      </c>
      <c r="C263" s="34">
        <f>B263*(1+ECO!M$10)</f>
        <v>1232.3999999999999</v>
      </c>
      <c r="D263" s="34">
        <f>C263*(1+ECO!N$10)</f>
        <v>1282.9283999999998</v>
      </c>
      <c r="E263" s="34">
        <f>D263*(1+ECO!O$10)</f>
        <v>1321.4162519999998</v>
      </c>
      <c r="F263" s="34">
        <f>E263*(1+ECO!P$10)</f>
        <v>1372.9514858279997</v>
      </c>
      <c r="G263" s="34">
        <f>F263*(1+ECO!Q$10)</f>
        <v>1416.8859333744958</v>
      </c>
      <c r="H263" s="34">
        <f>G263*(1+ECO!R$10)</f>
        <v>1462.2262832424797</v>
      </c>
      <c r="I263" s="34">
        <f>H263*(1+ECO!S$10)</f>
        <v>1509.017524306239</v>
      </c>
      <c r="J263" s="34">
        <f>I263*(1+ECO!T$10)</f>
        <v>1557.3060850840386</v>
      </c>
      <c r="K263" s="34">
        <f>J263*(1+ECO!U$10)</f>
        <v>1607.139879806728</v>
      </c>
      <c r="L263" s="34">
        <f>K263*(1+ECO!V$10)</f>
        <v>1658.5683559605434</v>
      </c>
      <c r="M263" s="34">
        <f>L263*(1+ECO!W$10)</f>
        <v>1711.642543351281</v>
      </c>
      <c r="N263" s="34">
        <f>M263*(1+ECO!X$10)</f>
        <v>1766.415104738522</v>
      </c>
      <c r="O263" s="819">
        <f>N263*(1+ECO!Y$10)</f>
        <v>1822.9403880901546</v>
      </c>
      <c r="P263" s="1126" t="s">
        <v>351</v>
      </c>
    </row>
    <row r="264" spans="1:16" s="35" customFormat="1" ht="15">
      <c r="A264" s="632" t="s">
        <v>180</v>
      </c>
      <c r="B264" s="34">
        <f>B261*B263/1000</f>
        <v>0</v>
      </c>
      <c r="C264" s="34">
        <f aca="true" t="shared" si="118" ref="C264:O264">C261*C263/1000</f>
        <v>0</v>
      </c>
      <c r="D264" s="34">
        <f>D261*D263/1000</f>
        <v>381.9762662831743</v>
      </c>
      <c r="E264" s="34">
        <f t="shared" si="118"/>
        <v>807.3975975256099</v>
      </c>
      <c r="F264" s="34">
        <f t="shared" si="118"/>
        <v>1290.8674807702662</v>
      </c>
      <c r="G264" s="34">
        <f>G261*G263/1000</f>
        <v>1821.9911201500784</v>
      </c>
      <c r="H264" s="34">
        <f t="shared" si="118"/>
        <v>1928.3475285400812</v>
      </c>
      <c r="I264" s="34">
        <f t="shared" si="118"/>
        <v>2040.7108719700805</v>
      </c>
      <c r="J264" s="34">
        <f t="shared" si="118"/>
        <v>2159.1333510883037</v>
      </c>
      <c r="K264" s="34">
        <f t="shared" si="118"/>
        <v>2283.1158847651614</v>
      </c>
      <c r="L264" s="34">
        <f t="shared" si="118"/>
        <v>2412.4940242366933</v>
      </c>
      <c r="M264" s="34">
        <f t="shared" si="118"/>
        <v>2548.3875718089776</v>
      </c>
      <c r="N264" s="34">
        <f t="shared" si="118"/>
        <v>2690.2736719068625</v>
      </c>
      <c r="O264" s="819">
        <f t="shared" si="118"/>
        <v>2837.9140001800324</v>
      </c>
      <c r="P264" s="1126"/>
    </row>
    <row r="265" spans="1:16" s="35" customFormat="1" ht="15">
      <c r="A265" s="632"/>
      <c r="B265" s="34"/>
      <c r="C265" s="34"/>
      <c r="D265" s="34"/>
      <c r="E265" s="34"/>
      <c r="F265" s="34"/>
      <c r="G265" s="34"/>
      <c r="H265" s="34"/>
      <c r="I265" s="34"/>
      <c r="J265" s="34"/>
      <c r="K265" s="34"/>
      <c r="L265" s="34"/>
      <c r="M265" s="34"/>
      <c r="N265" s="34"/>
      <c r="O265" s="819"/>
      <c r="P265" s="913"/>
    </row>
    <row r="266" spans="1:16" s="35" customFormat="1" ht="15">
      <c r="A266" s="994" t="s">
        <v>603</v>
      </c>
      <c r="B266" s="34"/>
      <c r="C266" s="34"/>
      <c r="D266" s="34"/>
      <c r="E266" s="34"/>
      <c r="F266" s="34"/>
      <c r="G266" s="34"/>
      <c r="H266" s="34"/>
      <c r="I266" s="34"/>
      <c r="J266" s="34"/>
      <c r="K266" s="34"/>
      <c r="L266" s="34"/>
      <c r="M266" s="34"/>
      <c r="N266" s="34"/>
      <c r="O266" s="819"/>
      <c r="P266" s="913"/>
    </row>
    <row r="267" spans="1:16" s="35" customFormat="1" ht="15">
      <c r="A267" s="632" t="s">
        <v>70</v>
      </c>
      <c r="B267" s="34">
        <f>(B255-B256)*B258</f>
        <v>0</v>
      </c>
      <c r="C267" s="34">
        <f aca="true" t="shared" si="119" ref="C267:O267">(C255-C256)*C258</f>
        <v>0</v>
      </c>
      <c r="D267" s="34">
        <f>(D255-D256)*D258</f>
        <v>4101.629835203488</v>
      </c>
      <c r="E267" s="34">
        <f t="shared" si="119"/>
        <v>8436.937916359368</v>
      </c>
      <c r="F267" s="34">
        <f t="shared" si="119"/>
        <v>13011.761129899292</v>
      </c>
      <c r="G267" s="34">
        <f t="shared" si="119"/>
        <v>17834.220450082903</v>
      </c>
      <c r="H267" s="34">
        <f t="shared" si="119"/>
        <v>18327.76745769671</v>
      </c>
      <c r="I267" s="34">
        <f t="shared" si="119"/>
        <v>18831.600148920614</v>
      </c>
      <c r="J267" s="34">
        <f t="shared" si="119"/>
        <v>19343.443935658637</v>
      </c>
      <c r="K267" s="34">
        <f t="shared" si="119"/>
        <v>19856.3687288222</v>
      </c>
      <c r="L267" s="34">
        <f t="shared" si="119"/>
        <v>20366.96547813749</v>
      </c>
      <c r="M267" s="34">
        <f t="shared" si="119"/>
        <v>20882.669992447194</v>
      </c>
      <c r="N267" s="34">
        <f t="shared" si="119"/>
        <v>21396.9174146799</v>
      </c>
      <c r="O267" s="819">
        <f t="shared" si="119"/>
        <v>21906.01052095093</v>
      </c>
      <c r="P267" s="913"/>
    </row>
    <row r="268" spans="1:16" s="35" customFormat="1" ht="15">
      <c r="A268" s="632"/>
      <c r="B268" s="34"/>
      <c r="C268" s="34"/>
      <c r="D268" s="34"/>
      <c r="E268" s="34"/>
      <c r="F268" s="34"/>
      <c r="G268" s="34"/>
      <c r="H268" s="34"/>
      <c r="I268" s="34"/>
      <c r="J268" s="34"/>
      <c r="K268" s="34"/>
      <c r="L268" s="34"/>
      <c r="M268" s="34"/>
      <c r="N268" s="34"/>
      <c r="O268" s="819"/>
      <c r="P268" s="913"/>
    </row>
    <row r="269" spans="1:16" s="35" customFormat="1" ht="15">
      <c r="A269" s="632" t="s">
        <v>605</v>
      </c>
      <c r="B269" s="34">
        <f>15*200</f>
        <v>3000</v>
      </c>
      <c r="C269" s="34">
        <f>B269*(1+ECO!M$10)</f>
        <v>3080.9999999999995</v>
      </c>
      <c r="D269" s="34">
        <f>C269*(1+ECO!N$10)</f>
        <v>3207.3209999999995</v>
      </c>
      <c r="E269" s="34">
        <f>D269*(1+ECO!O$10)</f>
        <v>3303.5406299999995</v>
      </c>
      <c r="F269" s="34">
        <f>E269*(1+ECO!P$10)</f>
        <v>3432.3787145699994</v>
      </c>
      <c r="G269" s="34">
        <f>F269*(1+ECO!Q$10)</f>
        <v>3542.2148334362396</v>
      </c>
      <c r="H269" s="34">
        <f>G269*(1+ECO!R$10)</f>
        <v>3655.5657081061995</v>
      </c>
      <c r="I269" s="34">
        <f>H269*(1+ECO!S$10)</f>
        <v>3772.543810765598</v>
      </c>
      <c r="J269" s="34">
        <f>I269*(1+ECO!T$10)</f>
        <v>3893.2652127100973</v>
      </c>
      <c r="K269" s="34">
        <f>J269*(1+ECO!U$10)</f>
        <v>4017.8496995168207</v>
      </c>
      <c r="L269" s="34">
        <f>K269*(1+ECO!V$10)</f>
        <v>4146.420889901359</v>
      </c>
      <c r="M269" s="34">
        <f>L269*(1+ECO!W$10)</f>
        <v>4279.1063583782025</v>
      </c>
      <c r="N269" s="34">
        <f>M269*(1+ECO!X$10)</f>
        <v>4416.037761846305</v>
      </c>
      <c r="O269" s="819">
        <f>N269*(1+ECO!Y$10)</f>
        <v>4557.350970225387</v>
      </c>
      <c r="P269" s="913"/>
    </row>
    <row r="270" spans="1:16" s="35" customFormat="1" ht="15">
      <c r="A270" s="632" t="s">
        <v>180</v>
      </c>
      <c r="B270" s="34">
        <f>B269*B267/1000</f>
        <v>0</v>
      </c>
      <c r="C270" s="34">
        <f aca="true" t="shared" si="120" ref="C270:O270">C269*C267/1000</f>
        <v>0</v>
      </c>
      <c r="D270" s="34">
        <f>D269*D267/1000</f>
        <v>13155.243504674685</v>
      </c>
      <c r="E270" s="34">
        <f t="shared" si="120"/>
        <v>27871.76719948071</v>
      </c>
      <c r="F270" s="34">
        <f t="shared" si="120"/>
        <v>44661.29194133562</v>
      </c>
      <c r="G270" s="34">
        <f t="shared" si="120"/>
        <v>63172.64022105559</v>
      </c>
      <c r="H270" s="34">
        <f t="shared" si="120"/>
        <v>66998.35822450083</v>
      </c>
      <c r="I270" s="34">
        <f t="shared" si="120"/>
        <v>71043.03658862297</v>
      </c>
      <c r="J270" s="34">
        <f t="shared" si="120"/>
        <v>75309.15736870786</v>
      </c>
      <c r="K270" s="34">
        <f t="shared" si="120"/>
        <v>79779.90513059347</v>
      </c>
      <c r="L270" s="34">
        <f t="shared" si="120"/>
        <v>84450.01112244911</v>
      </c>
      <c r="M270" s="34">
        <f t="shared" si="120"/>
        <v>89359.16594459447</v>
      </c>
      <c r="N270" s="34">
        <f t="shared" si="120"/>
        <v>94489.59529033327</v>
      </c>
      <c r="O270" s="819">
        <f t="shared" si="120"/>
        <v>99833.37830142325</v>
      </c>
      <c r="P270" s="913"/>
    </row>
    <row r="271" spans="1:16" s="35" customFormat="1" ht="15">
      <c r="A271" s="632"/>
      <c r="B271" s="34"/>
      <c r="C271" s="34"/>
      <c r="D271" s="34"/>
      <c r="E271" s="34"/>
      <c r="F271" s="34"/>
      <c r="G271" s="34"/>
      <c r="H271" s="34"/>
      <c r="I271" s="34"/>
      <c r="J271" s="34"/>
      <c r="K271" s="34"/>
      <c r="L271" s="34"/>
      <c r="M271" s="34"/>
      <c r="N271" s="34"/>
      <c r="O271" s="819"/>
      <c r="P271" s="913"/>
    </row>
    <row r="272" spans="1:16" s="35" customFormat="1" ht="15">
      <c r="A272" s="632" t="s">
        <v>430</v>
      </c>
      <c r="B272" s="34">
        <f>B264+B270</f>
        <v>0</v>
      </c>
      <c r="C272" s="34">
        <f aca="true" t="shared" si="121" ref="C272:O272">C264+C270</f>
        <v>0</v>
      </c>
      <c r="D272" s="34">
        <f t="shared" si="121"/>
        <v>13537.21977095786</v>
      </c>
      <c r="E272" s="34">
        <f t="shared" si="121"/>
        <v>28679.16479700632</v>
      </c>
      <c r="F272" s="34">
        <f t="shared" si="121"/>
        <v>45952.159422105884</v>
      </c>
      <c r="G272" s="34">
        <f t="shared" si="121"/>
        <v>64994.63134120567</v>
      </c>
      <c r="H272" s="34">
        <f t="shared" si="121"/>
        <v>68926.70575304091</v>
      </c>
      <c r="I272" s="34">
        <f t="shared" si="121"/>
        <v>73083.74746059305</v>
      </c>
      <c r="J272" s="34">
        <f t="shared" si="121"/>
        <v>77468.29071979616</v>
      </c>
      <c r="K272" s="34">
        <f t="shared" si="121"/>
        <v>82063.02101535864</v>
      </c>
      <c r="L272" s="34">
        <f t="shared" si="121"/>
        <v>86862.5051466858</v>
      </c>
      <c r="M272" s="34">
        <f t="shared" si="121"/>
        <v>91907.55351640345</v>
      </c>
      <c r="N272" s="34">
        <f t="shared" si="121"/>
        <v>97179.86896224013</v>
      </c>
      <c r="O272" s="819">
        <f t="shared" si="121"/>
        <v>102671.29230160327</v>
      </c>
      <c r="P272" s="750"/>
    </row>
    <row r="273" spans="1:16" s="35" customFormat="1" ht="15">
      <c r="A273" s="632"/>
      <c r="B273" s="34"/>
      <c r="C273" s="34"/>
      <c r="D273" s="34"/>
      <c r="E273" s="34"/>
      <c r="F273" s="34"/>
      <c r="G273" s="34"/>
      <c r="H273" s="34"/>
      <c r="I273" s="34"/>
      <c r="J273" s="34"/>
      <c r="K273" s="34"/>
      <c r="L273" s="34"/>
      <c r="M273" s="34"/>
      <c r="N273" s="34"/>
      <c r="O273" s="819"/>
      <c r="P273" s="753"/>
    </row>
    <row r="274" spans="1:16" s="35" customFormat="1" ht="15">
      <c r="A274" s="632" t="s">
        <v>86</v>
      </c>
      <c r="B274" s="34">
        <f>B272*10%</f>
        <v>0</v>
      </c>
      <c r="C274" s="34">
        <f aca="true" t="shared" si="122" ref="C274:O274">C272*10%</f>
        <v>0</v>
      </c>
      <c r="D274" s="34">
        <f t="shared" si="122"/>
        <v>1353.721977095786</v>
      </c>
      <c r="E274" s="34">
        <f t="shared" si="122"/>
        <v>2867.9164797006324</v>
      </c>
      <c r="F274" s="34">
        <f t="shared" si="122"/>
        <v>4595.215942210589</v>
      </c>
      <c r="G274" s="34">
        <f t="shared" si="122"/>
        <v>6499.463134120568</v>
      </c>
      <c r="H274" s="34">
        <f t="shared" si="122"/>
        <v>6892.6705753040915</v>
      </c>
      <c r="I274" s="34">
        <f t="shared" si="122"/>
        <v>7308.374746059305</v>
      </c>
      <c r="J274" s="34">
        <f t="shared" si="122"/>
        <v>7746.829071979617</v>
      </c>
      <c r="K274" s="34">
        <f t="shared" si="122"/>
        <v>8206.302101535864</v>
      </c>
      <c r="L274" s="34">
        <f t="shared" si="122"/>
        <v>8686.25051466858</v>
      </c>
      <c r="M274" s="34">
        <f t="shared" si="122"/>
        <v>9190.755351640346</v>
      </c>
      <c r="N274" s="34">
        <f t="shared" si="122"/>
        <v>9717.986896224013</v>
      </c>
      <c r="O274" s="819">
        <f t="shared" si="122"/>
        <v>10267.129230160328</v>
      </c>
      <c r="P274" s="753"/>
    </row>
    <row r="275" spans="1:15" ht="15">
      <c r="A275" s="632"/>
      <c r="B275" s="31"/>
      <c r="C275" s="31"/>
      <c r="D275" s="31"/>
      <c r="E275" s="31"/>
      <c r="F275" s="31"/>
      <c r="G275" s="31"/>
      <c r="H275" s="31"/>
      <c r="I275" s="31"/>
      <c r="J275" s="31"/>
      <c r="K275" s="31"/>
      <c r="L275" s="31"/>
      <c r="M275" s="31"/>
      <c r="N275" s="31"/>
      <c r="O275" s="900"/>
    </row>
    <row r="276" spans="1:15" ht="15">
      <c r="A276" s="633" t="s">
        <v>290</v>
      </c>
      <c r="B276" s="45">
        <f>B272+B274</f>
        <v>0</v>
      </c>
      <c r="C276" s="45">
        <f aca="true" t="shared" si="123" ref="C276:O276">C272+C274</f>
        <v>0</v>
      </c>
      <c r="D276" s="45">
        <f t="shared" si="123"/>
        <v>14890.941748053645</v>
      </c>
      <c r="E276" s="45">
        <f t="shared" si="123"/>
        <v>31547.08127670695</v>
      </c>
      <c r="F276" s="45">
        <f t="shared" si="123"/>
        <v>50547.375364316475</v>
      </c>
      <c r="G276" s="45">
        <f t="shared" si="123"/>
        <v>71494.09447532624</v>
      </c>
      <c r="H276" s="45">
        <f t="shared" si="123"/>
        <v>75819.376328345</v>
      </c>
      <c r="I276" s="45">
        <f t="shared" si="123"/>
        <v>80392.12220665235</v>
      </c>
      <c r="J276" s="45">
        <f t="shared" si="123"/>
        <v>85215.11979177578</v>
      </c>
      <c r="K276" s="45">
        <f t="shared" si="123"/>
        <v>90269.3231168945</v>
      </c>
      <c r="L276" s="45">
        <f t="shared" si="123"/>
        <v>95548.75566135437</v>
      </c>
      <c r="M276" s="45">
        <f t="shared" si="123"/>
        <v>101098.3088680438</v>
      </c>
      <c r="N276" s="45">
        <f t="shared" si="123"/>
        <v>106897.85585846414</v>
      </c>
      <c r="O276" s="874">
        <f t="shared" si="123"/>
        <v>112938.4215317636</v>
      </c>
    </row>
    <row r="277" spans="1:15" ht="15">
      <c r="A277" s="633" t="s">
        <v>69</v>
      </c>
      <c r="B277" s="271">
        <f>B276/(ECO!L$66*1000)</f>
        <v>0</v>
      </c>
      <c r="C277" s="271">
        <f>C276/(ECO!M$66*1000)</f>
        <v>0</v>
      </c>
      <c r="D277" s="271">
        <f>D276/(ECO!N$66*1000)</f>
        <v>0.0008985108801672057</v>
      </c>
      <c r="E277" s="271">
        <f>E276/(ECO!O$66*1000)</f>
        <v>0.001730119459853728</v>
      </c>
      <c r="F277" s="271">
        <f>F276/(ECO!P$66*1000)</f>
        <v>0.0025219569009021776</v>
      </c>
      <c r="G277" s="271">
        <f>G276/(ECO!Q$66*1000)</f>
        <v>0.0032488648585214355</v>
      </c>
      <c r="H277" s="271">
        <f>H276/(ECO!R$66*1000)</f>
        <v>0.0032503925892363806</v>
      </c>
      <c r="I277" s="271">
        <f>I276/(ECO!S$66*1000)</f>
        <v>0.003251346382599583</v>
      </c>
      <c r="J277" s="271">
        <f>J276/(ECO!T$66*1000)</f>
        <v>0.0032513261704449153</v>
      </c>
      <c r="K277" s="271">
        <f>K276/(ECO!U$66*1000)</f>
        <v>0.0032492131451694766</v>
      </c>
      <c r="L277" s="271">
        <f>L276/(ECO!V$66*1000)</f>
        <v>0.0032445702814612306</v>
      </c>
      <c r="M277" s="271">
        <f>M276/(ECO!W$66*1000)</f>
        <v>0.003238695934123459</v>
      </c>
      <c r="N277" s="271">
        <f>N276/(ECO!X$66*1000)</f>
        <v>0.0032306463093844055</v>
      </c>
      <c r="O277" s="968">
        <f>O276/(ECO!Y$66*1000)</f>
        <v>0.0032200029396179087</v>
      </c>
    </row>
    <row r="278" spans="1:15" ht="15">
      <c r="A278" s="634" t="s">
        <v>71</v>
      </c>
      <c r="B278" s="964">
        <f>B276/('GGO (SQ)'!L$24*1000)</f>
        <v>0</v>
      </c>
      <c r="C278" s="964">
        <f>C276/('GGO (SQ)'!M$24*1000)</f>
        <v>0</v>
      </c>
      <c r="D278" s="964">
        <f>D276/('GGO (SQ)'!N$24*1000)</f>
        <v>0.0057285413896578895</v>
      </c>
      <c r="E278" s="964">
        <f>E276/('GGO (SQ)'!O$24*1000)</f>
        <v>0.011030540813240081</v>
      </c>
      <c r="F278" s="964">
        <f>F276/('GGO (SQ)'!P$24*1000)</f>
        <v>0.016078975567956358</v>
      </c>
      <c r="G278" s="964">
        <f>G276/('GGO (SQ)'!Q$24*1000)</f>
        <v>0.020713446238938876</v>
      </c>
      <c r="H278" s="964">
        <f>H276/('GGO (SQ)'!R$24*1000)</f>
        <v>0.020723186431101246</v>
      </c>
      <c r="I278" s="964">
        <f>I276/('GGO (SQ)'!S$24*1000)</f>
        <v>0.020729267431208082</v>
      </c>
      <c r="J278" s="964">
        <f>J276/('GGO (SQ)'!T$24*1000)</f>
        <v>0.020729138566697763</v>
      </c>
      <c r="K278" s="964">
        <f>K276/('GGO (SQ)'!U$24*1000)</f>
        <v>0.020715666773517598</v>
      </c>
      <c r="L278" s="964">
        <f>L276/('GGO (SQ)'!V$24*1000)</f>
        <v>0.020686065755314814</v>
      </c>
      <c r="M278" s="964">
        <f>M276/('GGO (SQ)'!W$24*1000)</f>
        <v>0.020648613296358066</v>
      </c>
      <c r="N278" s="964">
        <f>N276/('GGO (SQ)'!X$24*1000)</f>
        <v>0.020597292149884802</v>
      </c>
      <c r="O278" s="971">
        <f>O276/('GGO (SQ)'!Y$24*1000)</f>
        <v>0.02052943433582977</v>
      </c>
    </row>
    <row r="279" spans="1:16" ht="15">
      <c r="A279" s="46"/>
      <c r="B279" s="609"/>
      <c r="C279" s="609"/>
      <c r="D279" s="609"/>
      <c r="E279" s="609"/>
      <c r="F279" s="609"/>
      <c r="G279" s="31"/>
      <c r="H279" s="31"/>
      <c r="I279" s="31"/>
      <c r="J279" s="31"/>
      <c r="K279" s="31"/>
      <c r="L279" s="31"/>
      <c r="M279" s="31"/>
      <c r="N279" s="31"/>
      <c r="O279" s="31"/>
      <c r="P279" s="31"/>
    </row>
    <row r="280" spans="1:44" s="254" customFormat="1" ht="15">
      <c r="A280" s="259" t="s">
        <v>522</v>
      </c>
      <c r="B280" s="116">
        <v>2015</v>
      </c>
      <c r="C280" s="116">
        <v>2016</v>
      </c>
      <c r="D280" s="116">
        <v>2017</v>
      </c>
      <c r="E280" s="116">
        <v>2018</v>
      </c>
      <c r="F280" s="116">
        <v>2019</v>
      </c>
      <c r="G280" s="116">
        <v>2020</v>
      </c>
      <c r="H280" s="116">
        <v>2021</v>
      </c>
      <c r="I280" s="116">
        <v>2022</v>
      </c>
      <c r="J280" s="116">
        <v>2023</v>
      </c>
      <c r="K280" s="116">
        <v>2024</v>
      </c>
      <c r="L280" s="116">
        <v>2025</v>
      </c>
      <c r="M280" s="116">
        <v>2026</v>
      </c>
      <c r="N280" s="116">
        <v>2027</v>
      </c>
      <c r="O280" s="116">
        <v>2028</v>
      </c>
      <c r="P280" s="35"/>
      <c r="Q280" s="35"/>
      <c r="R280" s="35"/>
      <c r="S280" s="35"/>
      <c r="T280" s="35"/>
      <c r="U280" s="35"/>
      <c r="V280" s="35"/>
      <c r="W280" s="35"/>
      <c r="X280" s="35"/>
      <c r="Y280" s="35"/>
      <c r="Z280" s="35"/>
      <c r="AA280" s="21"/>
      <c r="AB280" s="21"/>
      <c r="AC280" s="21"/>
      <c r="AD280" s="21"/>
      <c r="AE280" s="21"/>
      <c r="AF280" s="21"/>
      <c r="AG280" s="21"/>
      <c r="AH280" s="21"/>
      <c r="AI280" s="21"/>
      <c r="AJ280" s="21"/>
      <c r="AK280" s="21"/>
      <c r="AL280" s="21"/>
      <c r="AM280" s="21"/>
      <c r="AN280" s="21"/>
      <c r="AO280" s="21"/>
      <c r="AP280" s="21"/>
      <c r="AQ280" s="21"/>
      <c r="AR280" s="21"/>
    </row>
    <row r="281" spans="1:44" s="254" customFormat="1" ht="15">
      <c r="A281" s="863" t="s">
        <v>533</v>
      </c>
      <c r="B281" s="865">
        <f aca="true" t="shared" si="124" ref="B281:O281">B54</f>
        <v>0</v>
      </c>
      <c r="C281" s="866">
        <f t="shared" si="124"/>
        <v>0</v>
      </c>
      <c r="D281" s="866">
        <f t="shared" si="124"/>
        <v>0.0008376951525112307</v>
      </c>
      <c r="E281" s="866">
        <f t="shared" si="124"/>
        <v>0.0008117861884639515</v>
      </c>
      <c r="F281" s="866">
        <f t="shared" si="124"/>
        <v>0.0007842996476276098</v>
      </c>
      <c r="G281" s="866">
        <f t="shared" si="124"/>
        <v>0.0007559603859131882</v>
      </c>
      <c r="H281" s="866">
        <f t="shared" si="124"/>
        <v>0.0007523754097992449</v>
      </c>
      <c r="I281" s="965">
        <f t="shared" si="124"/>
        <v>0.0007265327214224981</v>
      </c>
      <c r="J281" s="965">
        <f t="shared" si="124"/>
        <v>0.0006881640896621946</v>
      </c>
      <c r="K281" s="965">
        <f t="shared" si="124"/>
        <v>0.0006515712626100859</v>
      </c>
      <c r="L281" s="965">
        <f t="shared" si="124"/>
        <v>0.0006167187149637015</v>
      </c>
      <c r="M281" s="965">
        <f t="shared" si="124"/>
        <v>0.0005835046901699718</v>
      </c>
      <c r="N281" s="965">
        <f t="shared" si="124"/>
        <v>0.0005518702332193139</v>
      </c>
      <c r="O281" s="875">
        <f t="shared" si="124"/>
        <v>0.0005217654777214397</v>
      </c>
      <c r="P281" s="35"/>
      <c r="Q281" s="35"/>
      <c r="R281" s="35"/>
      <c r="S281" s="35"/>
      <c r="T281" s="35"/>
      <c r="U281" s="35"/>
      <c r="V281" s="35"/>
      <c r="W281" s="35"/>
      <c r="X281" s="35"/>
      <c r="Y281" s="35"/>
      <c r="Z281" s="35"/>
      <c r="AA281" s="21"/>
      <c r="AB281" s="21"/>
      <c r="AC281" s="21"/>
      <c r="AD281" s="21"/>
      <c r="AE281" s="21"/>
      <c r="AF281" s="21"/>
      <c r="AG281" s="21"/>
      <c r="AH281" s="21"/>
      <c r="AI281" s="21"/>
      <c r="AJ281" s="21"/>
      <c r="AK281" s="21"/>
      <c r="AL281" s="21"/>
      <c r="AM281" s="21"/>
      <c r="AN281" s="21"/>
      <c r="AO281" s="21"/>
      <c r="AP281" s="21"/>
      <c r="AQ281" s="21"/>
      <c r="AR281" s="21"/>
    </row>
    <row r="282" spans="1:44" s="254" customFormat="1" ht="15">
      <c r="A282" s="864" t="s">
        <v>537</v>
      </c>
      <c r="B282" s="865">
        <f aca="true" t="shared" si="125" ref="B282:O282">B100</f>
        <v>0</v>
      </c>
      <c r="C282" s="866">
        <f t="shared" si="125"/>
        <v>0</v>
      </c>
      <c r="D282" s="866">
        <f t="shared" si="125"/>
        <v>0.0008376951525112307</v>
      </c>
      <c r="E282" s="866">
        <f t="shared" si="125"/>
        <v>0.0008117861884639515</v>
      </c>
      <c r="F282" s="866">
        <f t="shared" si="125"/>
        <v>0.0007842996476276098</v>
      </c>
      <c r="G282" s="866">
        <f t="shared" si="125"/>
        <v>0.0007559603859131882</v>
      </c>
      <c r="H282" s="866">
        <f t="shared" si="125"/>
        <v>0.0007523754097992449</v>
      </c>
      <c r="I282" s="866">
        <f t="shared" si="125"/>
        <v>0.0014947493113720612</v>
      </c>
      <c r="J282" s="866">
        <f t="shared" si="125"/>
        <v>0.0014158106975822903</v>
      </c>
      <c r="K282" s="866">
        <f t="shared" si="125"/>
        <v>0.0013405255776909198</v>
      </c>
      <c r="L282" s="866">
        <f t="shared" si="125"/>
        <v>0.0012688208628750543</v>
      </c>
      <c r="M282" s="866">
        <f t="shared" si="125"/>
        <v>0.0012004872018788672</v>
      </c>
      <c r="N282" s="866">
        <f t="shared" si="125"/>
        <v>0.001799743086462655</v>
      </c>
      <c r="O282" s="867">
        <f t="shared" si="125"/>
        <v>0.001701566337082849</v>
      </c>
      <c r="P282" s="35"/>
      <c r="Q282" s="35"/>
      <c r="R282" s="35"/>
      <c r="S282" s="35"/>
      <c r="T282" s="35"/>
      <c r="U282" s="35"/>
      <c r="V282" s="35"/>
      <c r="W282" s="35"/>
      <c r="X282" s="35"/>
      <c r="Y282" s="35"/>
      <c r="Z282" s="35"/>
      <c r="AA282" s="21"/>
      <c r="AB282" s="21"/>
      <c r="AC282" s="21"/>
      <c r="AD282" s="21"/>
      <c r="AE282" s="21"/>
      <c r="AF282" s="21"/>
      <c r="AG282" s="21"/>
      <c r="AH282" s="21"/>
      <c r="AI282" s="21"/>
      <c r="AJ282" s="21"/>
      <c r="AK282" s="21"/>
      <c r="AL282" s="21"/>
      <c r="AM282" s="21"/>
      <c r="AN282" s="21"/>
      <c r="AO282" s="21"/>
      <c r="AP282" s="21"/>
      <c r="AQ282" s="21"/>
      <c r="AR282" s="21"/>
    </row>
    <row r="283" spans="1:44" s="254" customFormat="1" ht="15">
      <c r="A283" s="864" t="s">
        <v>534</v>
      </c>
      <c r="B283" s="865">
        <f aca="true" t="shared" si="126" ref="B283:O283">B167</f>
        <v>0</v>
      </c>
      <c r="C283" s="866">
        <f t="shared" si="126"/>
        <v>0</v>
      </c>
      <c r="D283" s="866">
        <f t="shared" si="126"/>
        <v>0.0013011385218005488</v>
      </c>
      <c r="E283" s="866">
        <f t="shared" si="126"/>
        <v>0.001260605916042144</v>
      </c>
      <c r="F283" s="866">
        <f t="shared" si="126"/>
        <v>0.001217642097083646</v>
      </c>
      <c r="G283" s="866">
        <f t="shared" si="126"/>
        <v>0.0011733739351115831</v>
      </c>
      <c r="H283" s="866">
        <f t="shared" si="126"/>
        <v>0.0011675428971949988</v>
      </c>
      <c r="I283" s="866">
        <f t="shared" si="126"/>
        <v>0.0011271817043207635</v>
      </c>
      <c r="J283" s="866">
        <f t="shared" si="126"/>
        <v>0.0010674090047266445</v>
      </c>
      <c r="K283" s="866">
        <f t="shared" si="126"/>
        <v>0.0010104166278638448</v>
      </c>
      <c r="L283" s="866">
        <f t="shared" si="126"/>
        <v>0.0009561477313063271</v>
      </c>
      <c r="M283" s="866">
        <f t="shared" si="126"/>
        <v>0.0009044428507189402</v>
      </c>
      <c r="N283" s="866">
        <f t="shared" si="126"/>
        <v>0.0008552089835086399</v>
      </c>
      <c r="O283" s="867">
        <f t="shared" si="126"/>
        <v>0.000808367281137145</v>
      </c>
      <c r="P283" s="35"/>
      <c r="Q283" s="35"/>
      <c r="R283" s="35"/>
      <c r="S283" s="35"/>
      <c r="T283" s="35"/>
      <c r="U283" s="35"/>
      <c r="V283" s="35"/>
      <c r="W283" s="35"/>
      <c r="X283" s="35"/>
      <c r="Y283" s="35"/>
      <c r="Z283" s="35"/>
      <c r="AA283" s="21"/>
      <c r="AB283" s="21"/>
      <c r="AC283" s="21"/>
      <c r="AD283" s="21"/>
      <c r="AE283" s="21"/>
      <c r="AF283" s="21"/>
      <c r="AG283" s="21"/>
      <c r="AH283" s="21"/>
      <c r="AI283" s="21"/>
      <c r="AJ283" s="21"/>
      <c r="AK283" s="21"/>
      <c r="AL283" s="21"/>
      <c r="AM283" s="21"/>
      <c r="AN283" s="21"/>
      <c r="AO283" s="21"/>
      <c r="AP283" s="21"/>
      <c r="AQ283" s="21"/>
      <c r="AR283" s="21"/>
    </row>
    <row r="284" spans="1:44" s="254" customFormat="1" ht="15">
      <c r="A284" s="864" t="s">
        <v>536</v>
      </c>
      <c r="B284" s="865">
        <f aca="true" t="shared" si="127" ref="B284:O284">B234</f>
        <v>0</v>
      </c>
      <c r="C284" s="866">
        <f t="shared" si="127"/>
        <v>0</v>
      </c>
      <c r="D284" s="866">
        <f t="shared" si="127"/>
        <v>0.0013011385218005488</v>
      </c>
      <c r="E284" s="866">
        <f t="shared" si="127"/>
        <v>0.001260605916042144</v>
      </c>
      <c r="F284" s="866">
        <f t="shared" si="127"/>
        <v>0.001217642097083646</v>
      </c>
      <c r="G284" s="866">
        <f t="shared" si="127"/>
        <v>0.0011733739351115831</v>
      </c>
      <c r="H284" s="866">
        <f t="shared" si="127"/>
        <v>0.0011675428971949988</v>
      </c>
      <c r="I284" s="866">
        <f t="shared" si="127"/>
        <v>0.0019908656219885207</v>
      </c>
      <c r="J284" s="866">
        <f t="shared" si="127"/>
        <v>0.0018854379795717965</v>
      </c>
      <c r="K284" s="866">
        <f t="shared" si="127"/>
        <v>0.0017849061408730957</v>
      </c>
      <c r="L284" s="866">
        <f t="shared" si="127"/>
        <v>0.0016891707276037533</v>
      </c>
      <c r="M284" s="866">
        <f t="shared" si="127"/>
        <v>0.0015979510289148278</v>
      </c>
      <c r="N284" s="866">
        <f t="shared" si="127"/>
        <v>0.0022577828586078036</v>
      </c>
      <c r="O284" s="867">
        <f t="shared" si="127"/>
        <v>0.0021343586692984954</v>
      </c>
      <c r="P284" s="35"/>
      <c r="Q284" s="35"/>
      <c r="R284" s="35"/>
      <c r="S284" s="35"/>
      <c r="T284" s="35"/>
      <c r="U284" s="35"/>
      <c r="V284" s="35"/>
      <c r="W284" s="35"/>
      <c r="X284" s="35"/>
      <c r="Y284" s="35"/>
      <c r="Z284" s="35"/>
      <c r="AA284" s="21"/>
      <c r="AB284" s="21"/>
      <c r="AC284" s="21"/>
      <c r="AD284" s="21"/>
      <c r="AE284" s="21"/>
      <c r="AF284" s="21"/>
      <c r="AG284" s="21"/>
      <c r="AH284" s="21"/>
      <c r="AI284" s="21"/>
      <c r="AJ284" s="21"/>
      <c r="AK284" s="21"/>
      <c r="AL284" s="21"/>
      <c r="AM284" s="21"/>
      <c r="AN284" s="21"/>
      <c r="AO284" s="21"/>
      <c r="AP284" s="21"/>
      <c r="AQ284" s="21"/>
      <c r="AR284" s="21"/>
    </row>
    <row r="285" spans="1:44" s="254" customFormat="1" ht="15">
      <c r="A285" s="864" t="s">
        <v>535</v>
      </c>
      <c r="B285" s="865">
        <f aca="true" t="shared" si="128" ref="B285:O285">B250</f>
        <v>0</v>
      </c>
      <c r="C285" s="866">
        <f t="shared" si="128"/>
        <v>0</v>
      </c>
      <c r="D285" s="866">
        <f t="shared" si="128"/>
        <v>4.413400870473191E-05</v>
      </c>
      <c r="E285" s="866">
        <f t="shared" si="128"/>
        <v>4.030101043947019E-05</v>
      </c>
      <c r="F285" s="866">
        <f t="shared" si="128"/>
        <v>3.654807144486078E-05</v>
      </c>
      <c r="G285" s="866">
        <f t="shared" si="128"/>
        <v>3.292119697151282E-05</v>
      </c>
      <c r="H285" s="866">
        <f t="shared" si="128"/>
        <v>3.0331526548531317E-05</v>
      </c>
      <c r="I285" s="866">
        <f t="shared" si="128"/>
        <v>3.1782567048450514E-05</v>
      </c>
      <c r="J285" s="866">
        <f t="shared" si="128"/>
        <v>2.7582040339074615E-05</v>
      </c>
      <c r="K285" s="866">
        <f t="shared" si="128"/>
        <v>2.3732918296619307E-05</v>
      </c>
      <c r="L285" s="866">
        <f t="shared" si="128"/>
        <v>2.021363172585228E-05</v>
      </c>
      <c r="M285" s="866">
        <f t="shared" si="128"/>
        <v>1.7001288538772E-05</v>
      </c>
      <c r="N285" s="866">
        <f t="shared" si="128"/>
        <v>1.6476580127274913E-05</v>
      </c>
      <c r="O285" s="867">
        <f t="shared" si="128"/>
        <v>1.3365168958852861E-05</v>
      </c>
      <c r="P285" s="35"/>
      <c r="Q285" s="35"/>
      <c r="R285" s="35"/>
      <c r="S285" s="35"/>
      <c r="T285" s="35"/>
      <c r="U285" s="35"/>
      <c r="V285" s="35"/>
      <c r="W285" s="35"/>
      <c r="X285" s="35"/>
      <c r="Y285" s="35"/>
      <c r="Z285" s="35"/>
      <c r="AA285" s="21"/>
      <c r="AB285" s="21"/>
      <c r="AC285" s="21"/>
      <c r="AD285" s="21"/>
      <c r="AE285" s="21"/>
      <c r="AF285" s="21"/>
      <c r="AG285" s="21"/>
      <c r="AH285" s="21"/>
      <c r="AI285" s="21"/>
      <c r="AJ285" s="21"/>
      <c r="AK285" s="21"/>
      <c r="AL285" s="21"/>
      <c r="AM285" s="21"/>
      <c r="AN285" s="21"/>
      <c r="AO285" s="21"/>
      <c r="AP285" s="21"/>
      <c r="AQ285" s="21"/>
      <c r="AR285" s="21"/>
    </row>
    <row r="286" spans="1:15" ht="15">
      <c r="A286" s="972" t="str">
        <f>A254</f>
        <v>Scenario 6: Provide a meal to all children in public schools (K to grade 6) under SFP, for the whole school year (200 days)</v>
      </c>
      <c r="B286" s="871">
        <f>B277</f>
        <v>0</v>
      </c>
      <c r="C286" s="872">
        <f aca="true" t="shared" si="129" ref="C286:O286">C277</f>
        <v>0</v>
      </c>
      <c r="D286" s="872">
        <f t="shared" si="129"/>
        <v>0.0008985108801672057</v>
      </c>
      <c r="E286" s="872">
        <f t="shared" si="129"/>
        <v>0.001730119459853728</v>
      </c>
      <c r="F286" s="872">
        <f t="shared" si="129"/>
        <v>0.0025219569009021776</v>
      </c>
      <c r="G286" s="872">
        <f t="shared" si="129"/>
        <v>0.0032488648585214355</v>
      </c>
      <c r="H286" s="872">
        <f t="shared" si="129"/>
        <v>0.0032503925892363806</v>
      </c>
      <c r="I286" s="872">
        <f t="shared" si="129"/>
        <v>0.003251346382599583</v>
      </c>
      <c r="J286" s="872">
        <f t="shared" si="129"/>
        <v>0.0032513261704449153</v>
      </c>
      <c r="K286" s="872">
        <f t="shared" si="129"/>
        <v>0.0032492131451694766</v>
      </c>
      <c r="L286" s="872">
        <f t="shared" si="129"/>
        <v>0.0032445702814612306</v>
      </c>
      <c r="M286" s="872">
        <f t="shared" si="129"/>
        <v>0.003238695934123459</v>
      </c>
      <c r="N286" s="872">
        <f t="shared" si="129"/>
        <v>0.0032306463093844055</v>
      </c>
      <c r="O286" s="873">
        <f t="shared" si="129"/>
        <v>0.0032200029396179087</v>
      </c>
    </row>
  </sheetData>
  <mergeCells count="28">
    <mergeCell ref="P189:P193"/>
    <mergeCell ref="F4:G4"/>
    <mergeCell ref="F5:G5"/>
    <mergeCell ref="P237:P240"/>
    <mergeCell ref="P263:P264"/>
    <mergeCell ref="P13:P20"/>
    <mergeCell ref="P59:P67"/>
    <mergeCell ref="P242:P244"/>
    <mergeCell ref="P11:P12"/>
    <mergeCell ref="A10:O10"/>
    <mergeCell ref="A253:O253"/>
    <mergeCell ref="P172:P180"/>
    <mergeCell ref="P105:P113"/>
    <mergeCell ref="P122:P126"/>
    <mergeCell ref="C171:G171"/>
    <mergeCell ref="I171:L171"/>
    <mergeCell ref="A254:O254"/>
    <mergeCell ref="A237:O237"/>
    <mergeCell ref="A11:O11"/>
    <mergeCell ref="A57:O57"/>
    <mergeCell ref="A103:O103"/>
    <mergeCell ref="A170:O170"/>
    <mergeCell ref="I12:L12"/>
    <mergeCell ref="C12:G12"/>
    <mergeCell ref="C58:G58"/>
    <mergeCell ref="I58:L58"/>
    <mergeCell ref="C104:G104"/>
    <mergeCell ref="I104:L104"/>
  </mergeCells>
  <printOptions/>
  <pageMargins left="0.7" right="0.7" top="0.75" bottom="0.75" header="0.3" footer="0.3"/>
  <pageSetup horizontalDpi="600" verticalDpi="600" orientation="portrait" paperSize="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66"/>
  <sheetViews>
    <sheetView zoomScale="90" zoomScaleNormal="90" workbookViewId="0" topLeftCell="A1">
      <pane ySplit="8" topLeftCell="A9" activePane="bottomLeft" state="frozen"/>
      <selection pane="bottomLeft" activeCell="H196" sqref="H196"/>
    </sheetView>
  </sheetViews>
  <sheetFormatPr defaultColWidth="8.8515625" defaultRowHeight="15"/>
  <cols>
    <col min="1" max="1" width="44.00390625" style="21" customWidth="1"/>
    <col min="2" max="2" width="10.7109375" style="20" customWidth="1"/>
    <col min="3" max="15" width="10.7109375" style="21" customWidth="1"/>
    <col min="16" max="16" width="40.8515625" style="21" customWidth="1"/>
    <col min="17" max="16384" width="8.8515625" style="21" customWidth="1"/>
  </cols>
  <sheetData>
    <row r="1" ht="18">
      <c r="A1" s="19" t="s">
        <v>282</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5" ht="15">
      <c r="A9" s="603"/>
      <c r="B9" s="604"/>
      <c r="C9" s="605"/>
      <c r="D9" s="605"/>
      <c r="E9" s="605"/>
      <c r="F9" s="605"/>
      <c r="G9" s="605"/>
      <c r="H9" s="605"/>
      <c r="I9" s="605"/>
      <c r="J9" s="605"/>
      <c r="K9" s="605"/>
      <c r="L9" s="605"/>
      <c r="M9" s="605"/>
      <c r="N9" s="605"/>
      <c r="O9" s="605"/>
    </row>
    <row r="10" spans="1:15" ht="15">
      <c r="A10" s="1141" t="s">
        <v>369</v>
      </c>
      <c r="B10" s="1128"/>
      <c r="C10" s="1128"/>
      <c r="D10" s="1128"/>
      <c r="E10" s="1128"/>
      <c r="F10" s="1128"/>
      <c r="G10" s="1128"/>
      <c r="H10" s="1128"/>
      <c r="I10" s="1128"/>
      <c r="J10" s="1128"/>
      <c r="K10" s="1128"/>
      <c r="L10" s="1128"/>
      <c r="M10" s="1128"/>
      <c r="N10" s="1128"/>
      <c r="O10" s="1128"/>
    </row>
    <row r="11" spans="1:16" ht="14.25" customHeight="1">
      <c r="A11" s="1140" t="s">
        <v>352</v>
      </c>
      <c r="B11" s="1140"/>
      <c r="C11" s="1140"/>
      <c r="D11" s="1140"/>
      <c r="E11" s="1140"/>
      <c r="F11" s="1140"/>
      <c r="G11" s="1140"/>
      <c r="H11" s="1140"/>
      <c r="I11" s="1140"/>
      <c r="J11" s="1140"/>
      <c r="K11" s="1140"/>
      <c r="L11" s="1140"/>
      <c r="M11" s="1140"/>
      <c r="N11" s="1140"/>
      <c r="O11" s="1140"/>
      <c r="P11" s="1131" t="s">
        <v>468</v>
      </c>
    </row>
    <row r="12" spans="1:16" ht="14.25" customHeight="1">
      <c r="A12" s="1138" t="s">
        <v>320</v>
      </c>
      <c r="B12" s="1123"/>
      <c r="C12" s="642">
        <v>0.5</v>
      </c>
      <c r="D12" s="1123" t="s">
        <v>319</v>
      </c>
      <c r="E12" s="1123"/>
      <c r="F12" s="1123"/>
      <c r="G12" s="641">
        <v>3</v>
      </c>
      <c r="H12" s="998"/>
      <c r="I12" s="1142"/>
      <c r="J12" s="1142"/>
      <c r="K12" s="1142"/>
      <c r="L12" s="1142"/>
      <c r="M12" s="1142"/>
      <c r="N12" s="1142"/>
      <c r="O12" s="1143"/>
      <c r="P12" s="1131"/>
    </row>
    <row r="13" spans="1:16" ht="15">
      <c r="A13" s="30" t="s">
        <v>232</v>
      </c>
      <c r="B13" s="368">
        <f>POP!L$95</f>
        <v>33752.99863443981</v>
      </c>
      <c r="C13" s="369">
        <f>POP!M$95</f>
        <v>34375.5875550936</v>
      </c>
      <c r="D13" s="369">
        <f>POP!N$95</f>
        <v>34989.293439618414</v>
      </c>
      <c r="E13" s="369">
        <f>POP!O$95</f>
        <v>35597.67406255785</v>
      </c>
      <c r="F13" s="369">
        <f>POP!P$95</f>
        <v>36202.37257773892</v>
      </c>
      <c r="G13" s="369">
        <f>POP!Q$95</f>
        <v>36804.86778534744</v>
      </c>
      <c r="H13" s="369">
        <f>POP!R$95</f>
        <v>37405.66882966946</v>
      </c>
      <c r="I13" s="366">
        <f>POP!S$95</f>
        <v>38003.30755481213</v>
      </c>
      <c r="J13" s="366">
        <f>POP!T$95</f>
        <v>38599.368876953566</v>
      </c>
      <c r="K13" s="366">
        <f>POP!U$95</f>
        <v>39189.224151393806</v>
      </c>
      <c r="L13" s="366">
        <f>POP!V$95</f>
        <v>39774.567486724074</v>
      </c>
      <c r="M13" s="366">
        <f>POP!W$95</f>
        <v>40353.38876489049</v>
      </c>
      <c r="N13" s="366">
        <f>POP!X$95</f>
        <v>40925.72424732374</v>
      </c>
      <c r="O13" s="367">
        <f>POP!Y$95</f>
        <v>41492.41488674328</v>
      </c>
      <c r="P13" s="1131"/>
    </row>
    <row r="14" spans="1:16" s="35" customFormat="1" ht="15">
      <c r="A14" s="32" t="s">
        <v>255</v>
      </c>
      <c r="B14" s="368">
        <f>ECO!L$76*20</f>
        <v>7581.799948883431</v>
      </c>
      <c r="C14" s="369">
        <f>ECO!M$76*20</f>
        <v>8081.638306705343</v>
      </c>
      <c r="D14" s="369">
        <f>ECO!N$76*20</f>
        <v>8720.64014457958</v>
      </c>
      <c r="E14" s="369">
        <f>ECO!O$76*20</f>
        <v>9318.369821475935</v>
      </c>
      <c r="F14" s="369">
        <f>ECO!P$76*20</f>
        <v>10042.430045799267</v>
      </c>
      <c r="G14" s="369">
        <f>ECO!Q$76*20</f>
        <v>10752.589217156554</v>
      </c>
      <c r="H14" s="369">
        <f>ECO!R$76*20</f>
        <v>11514.205440228254</v>
      </c>
      <c r="I14" s="369">
        <f>ECO!S$76*20</f>
        <v>12330.55578945467</v>
      </c>
      <c r="J14" s="369">
        <f>ECO!T$76*20</f>
        <v>13206.69142788488</v>
      </c>
      <c r="K14" s="369">
        <f>ECO!U$76*20</f>
        <v>14150.361651222276</v>
      </c>
      <c r="L14" s="369">
        <f>ECO!V$76*20</f>
        <v>15169.161586201133</v>
      </c>
      <c r="M14" s="369">
        <f>ECO!W$76*20</f>
        <v>16267.787505615208</v>
      </c>
      <c r="N14" s="369">
        <f>ECO!X$76*20</f>
        <v>17454.228721141753</v>
      </c>
      <c r="O14" s="818">
        <f>ECO!Y$76*20</f>
        <v>18735.1143033822</v>
      </c>
      <c r="P14" s="1131"/>
    </row>
    <row r="15" spans="1:16" s="35" customFormat="1" ht="15">
      <c r="A15" s="32" t="s">
        <v>234</v>
      </c>
      <c r="B15" s="368">
        <f>B13*B14*12/1000</f>
        <v>3070901.7998550995</v>
      </c>
      <c r="C15" s="369">
        <f aca="true" t="shared" si="0" ref="C15:H15">C13*C14*12/1000</f>
        <v>3333732.7824089746</v>
      </c>
      <c r="D15" s="369">
        <f t="shared" si="0"/>
        <v>3661548.4440001356</v>
      </c>
      <c r="E15" s="369">
        <f t="shared" si="0"/>
        <v>3980547.5003913087</v>
      </c>
      <c r="F15" s="369">
        <f t="shared" si="0"/>
        <v>4362717.529246857</v>
      </c>
      <c r="G15" s="369">
        <f t="shared" si="0"/>
        <v>4748971.493851193</v>
      </c>
      <c r="H15" s="369">
        <f t="shared" si="0"/>
        <v>5168358.666407478</v>
      </c>
      <c r="I15" s="369">
        <f>I13*I14*12/1000</f>
        <v>5623222.847860981</v>
      </c>
      <c r="J15" s="369">
        <f aca="true" t="shared" si="1" ref="J15:O15">J13*J14*12/1000</f>
        <v>6117239.448828349</v>
      </c>
      <c r="K15" s="369">
        <f t="shared" si="1"/>
        <v>6654500.334876442</v>
      </c>
      <c r="L15" s="369">
        <f t="shared" si="1"/>
        <v>7240162.094728552</v>
      </c>
      <c r="M15" s="369">
        <f t="shared" si="1"/>
        <v>7877524.242704624</v>
      </c>
      <c r="N15" s="369">
        <f t="shared" si="1"/>
        <v>8571923.419093987</v>
      </c>
      <c r="O15" s="818">
        <f t="shared" si="1"/>
        <v>9328381.627517913</v>
      </c>
      <c r="P15" s="1131"/>
    </row>
    <row r="16" spans="1:16" s="35" customFormat="1" ht="15">
      <c r="A16" s="32" t="s">
        <v>235</v>
      </c>
      <c r="B16" s="372">
        <v>0.1</v>
      </c>
      <c r="C16" s="373">
        <f aca="true" t="shared" si="2" ref="C16:I16">B16</f>
        <v>0.1</v>
      </c>
      <c r="D16" s="373">
        <f t="shared" si="2"/>
        <v>0.1</v>
      </c>
      <c r="E16" s="373">
        <f t="shared" si="2"/>
        <v>0.1</v>
      </c>
      <c r="F16" s="373">
        <f t="shared" si="2"/>
        <v>0.1</v>
      </c>
      <c r="G16" s="373">
        <f t="shared" si="2"/>
        <v>0.1</v>
      </c>
      <c r="H16" s="373">
        <f t="shared" si="2"/>
        <v>0.1</v>
      </c>
      <c r="I16" s="373">
        <f t="shared" si="2"/>
        <v>0.1</v>
      </c>
      <c r="J16" s="373">
        <f aca="true" t="shared" si="3" ref="J16">I16</f>
        <v>0.1</v>
      </c>
      <c r="K16" s="373">
        <f aca="true" t="shared" si="4" ref="K16">J16</f>
        <v>0.1</v>
      </c>
      <c r="L16" s="373">
        <f aca="true" t="shared" si="5" ref="L16">K16</f>
        <v>0.1</v>
      </c>
      <c r="M16" s="373">
        <f aca="true" t="shared" si="6" ref="M16">L16</f>
        <v>0.1</v>
      </c>
      <c r="N16" s="373">
        <f aca="true" t="shared" si="7" ref="N16">M16</f>
        <v>0.1</v>
      </c>
      <c r="O16" s="999">
        <f aca="true" t="shared" si="8" ref="O16">N16</f>
        <v>0.1</v>
      </c>
      <c r="P16" s="1131"/>
    </row>
    <row r="17" spans="1:16" s="35" customFormat="1" ht="15">
      <c r="A17" s="32" t="s">
        <v>233</v>
      </c>
      <c r="B17" s="368">
        <f>B15*(1-B16)</f>
        <v>2763811.61986959</v>
      </c>
      <c r="C17" s="369">
        <f aca="true" t="shared" si="9" ref="C17:O17">C15*(1-C16)</f>
        <v>3000359.5041680774</v>
      </c>
      <c r="D17" s="369">
        <f t="shared" si="9"/>
        <v>3295393.5996001223</v>
      </c>
      <c r="E17" s="369">
        <f t="shared" si="9"/>
        <v>3582492.750352178</v>
      </c>
      <c r="F17" s="369">
        <f t="shared" si="9"/>
        <v>3926445.7763221716</v>
      </c>
      <c r="G17" s="369">
        <f t="shared" si="9"/>
        <v>4274074.344466074</v>
      </c>
      <c r="H17" s="369">
        <f t="shared" si="9"/>
        <v>4651522.7997667305</v>
      </c>
      <c r="I17" s="369">
        <f t="shared" si="9"/>
        <v>5060900.563074883</v>
      </c>
      <c r="J17" s="369">
        <f t="shared" si="9"/>
        <v>5505515.503945515</v>
      </c>
      <c r="K17" s="369">
        <f t="shared" si="9"/>
        <v>5989050.301388798</v>
      </c>
      <c r="L17" s="369">
        <f t="shared" si="9"/>
        <v>6516145.885255697</v>
      </c>
      <c r="M17" s="369">
        <f t="shared" si="9"/>
        <v>7089771.818434162</v>
      </c>
      <c r="N17" s="369">
        <f t="shared" si="9"/>
        <v>7714731.077184589</v>
      </c>
      <c r="O17" s="818">
        <f t="shared" si="9"/>
        <v>8395543.464766122</v>
      </c>
      <c r="P17" s="1131"/>
    </row>
    <row r="18" spans="1:16" s="35" customFormat="1" ht="15">
      <c r="A18" s="32"/>
      <c r="B18" s="368"/>
      <c r="C18" s="369"/>
      <c r="D18" s="369"/>
      <c r="E18" s="369"/>
      <c r="F18" s="369"/>
      <c r="G18" s="369"/>
      <c r="H18" s="369"/>
      <c r="I18" s="369"/>
      <c r="J18" s="369"/>
      <c r="K18" s="369"/>
      <c r="L18" s="369"/>
      <c r="M18" s="369"/>
      <c r="N18" s="369"/>
      <c r="O18" s="818"/>
      <c r="P18" s="1131"/>
    </row>
    <row r="19" spans="1:16" s="35" customFormat="1" ht="15">
      <c r="A19" s="32" t="s">
        <v>370</v>
      </c>
      <c r="B19" s="368">
        <f>B13*ECO!L42</f>
        <v>1977.925719978173</v>
      </c>
      <c r="C19" s="369">
        <f>C13*ECO!M42</f>
        <v>1538.6981747672012</v>
      </c>
      <c r="D19" s="369">
        <f>D13*ECO!N42</f>
        <v>1566.1684870301924</v>
      </c>
      <c r="E19" s="369">
        <f>E13*ECO!O42</f>
        <v>1593.400433322902</v>
      </c>
      <c r="F19" s="369">
        <f>F13*ECO!P42</f>
        <v>1620.4675634512907</v>
      </c>
      <c r="G19" s="369">
        <f>G13*ECO!Q42</f>
        <v>1647.436070528222</v>
      </c>
      <c r="H19" s="369">
        <f>H13*ECO!R42</f>
        <v>1674.3287445462274</v>
      </c>
      <c r="I19" s="369">
        <f>I13*ECO!S42</f>
        <v>1701.0798688455109</v>
      </c>
      <c r="J19" s="369">
        <f>J13*ECO!T42</f>
        <v>1727.7603864354555</v>
      </c>
      <c r="K19" s="369">
        <f>K13*ECO!U42</f>
        <v>1754.1631128675022</v>
      </c>
      <c r="L19" s="369">
        <f>L13*ECO!V42</f>
        <v>1780.3638787523423</v>
      </c>
      <c r="M19" s="369">
        <f>M13*ECO!W42</f>
        <v>1806.272708464814</v>
      </c>
      <c r="N19" s="369">
        <f>N13*ECO!X42</f>
        <v>1831.8912251160025</v>
      </c>
      <c r="O19" s="818">
        <f>O13*ECO!Y42</f>
        <v>1857.2570708963838</v>
      </c>
      <c r="P19" s="1131"/>
    </row>
    <row r="20" spans="1:16" s="35" customFormat="1" ht="15">
      <c r="A20" s="32" t="s">
        <v>74</v>
      </c>
      <c r="B20" s="370">
        <v>0</v>
      </c>
      <c r="C20" s="371">
        <v>0</v>
      </c>
      <c r="D20" s="371">
        <v>0.2</v>
      </c>
      <c r="E20" s="371">
        <v>0.5</v>
      </c>
      <c r="F20" s="371">
        <v>0.75</v>
      </c>
      <c r="G20" s="371">
        <v>1</v>
      </c>
      <c r="H20" s="371">
        <v>1</v>
      </c>
      <c r="I20" s="371">
        <v>1</v>
      </c>
      <c r="J20" s="371">
        <v>1</v>
      </c>
      <c r="K20" s="371">
        <v>1</v>
      </c>
      <c r="L20" s="371">
        <v>1</v>
      </c>
      <c r="M20" s="371">
        <v>1</v>
      </c>
      <c r="N20" s="371">
        <v>1</v>
      </c>
      <c r="O20" s="870">
        <v>1</v>
      </c>
      <c r="P20" s="1131"/>
    </row>
    <row r="21" spans="1:16" s="35" customFormat="1" ht="15">
      <c r="A21" s="32" t="s">
        <v>70</v>
      </c>
      <c r="B21" s="368">
        <f>B19*B20</f>
        <v>0</v>
      </c>
      <c r="C21" s="369">
        <f aca="true" t="shared" si="10" ref="C21:O21">C19*C20</f>
        <v>0</v>
      </c>
      <c r="D21" s="369">
        <f t="shared" si="10"/>
        <v>313.2336974060385</v>
      </c>
      <c r="E21" s="369">
        <f t="shared" si="10"/>
        <v>796.700216661451</v>
      </c>
      <c r="F21" s="369">
        <f t="shared" si="10"/>
        <v>1215.3506725884681</v>
      </c>
      <c r="G21" s="369">
        <f t="shared" si="10"/>
        <v>1647.436070528222</v>
      </c>
      <c r="H21" s="369">
        <f t="shared" si="10"/>
        <v>1674.3287445462274</v>
      </c>
      <c r="I21" s="369">
        <f t="shared" si="10"/>
        <v>1701.0798688455109</v>
      </c>
      <c r="J21" s="369">
        <f t="shared" si="10"/>
        <v>1727.7603864354555</v>
      </c>
      <c r="K21" s="369">
        <f t="shared" si="10"/>
        <v>1754.1631128675022</v>
      </c>
      <c r="L21" s="369">
        <f t="shared" si="10"/>
        <v>1780.3638787523423</v>
      </c>
      <c r="M21" s="369">
        <f t="shared" si="10"/>
        <v>1806.272708464814</v>
      </c>
      <c r="N21" s="369">
        <f t="shared" si="10"/>
        <v>1831.8912251160025</v>
      </c>
      <c r="O21" s="818">
        <f t="shared" si="10"/>
        <v>1857.2570708963838</v>
      </c>
      <c r="P21" s="1131"/>
    </row>
    <row r="22" spans="1:16" s="35" customFormat="1" ht="15">
      <c r="A22" s="32"/>
      <c r="B22" s="368"/>
      <c r="C22" s="369"/>
      <c r="D22" s="369"/>
      <c r="E22" s="369"/>
      <c r="F22" s="369"/>
      <c r="G22" s="369"/>
      <c r="H22" s="369"/>
      <c r="I22" s="369"/>
      <c r="J22" s="369"/>
      <c r="K22" s="369"/>
      <c r="L22" s="369"/>
      <c r="M22" s="369"/>
      <c r="N22" s="369"/>
      <c r="O22" s="818"/>
      <c r="P22" s="1131"/>
    </row>
    <row r="23" spans="1:16" s="35" customFormat="1" ht="15">
      <c r="A23" s="32" t="s">
        <v>240</v>
      </c>
      <c r="B23" s="370">
        <f>$C$12</f>
        <v>0.5</v>
      </c>
      <c r="C23" s="371">
        <f>B23</f>
        <v>0.5</v>
      </c>
      <c r="D23" s="371">
        <f aca="true" t="shared" si="11" ref="D23:O23">C23</f>
        <v>0.5</v>
      </c>
      <c r="E23" s="371">
        <f t="shared" si="11"/>
        <v>0.5</v>
      </c>
      <c r="F23" s="371">
        <f t="shared" si="11"/>
        <v>0.5</v>
      </c>
      <c r="G23" s="371">
        <f t="shared" si="11"/>
        <v>0.5</v>
      </c>
      <c r="H23" s="371">
        <f t="shared" si="11"/>
        <v>0.5</v>
      </c>
      <c r="I23" s="371">
        <f t="shared" si="11"/>
        <v>0.5</v>
      </c>
      <c r="J23" s="371">
        <f t="shared" si="11"/>
        <v>0.5</v>
      </c>
      <c r="K23" s="371">
        <f t="shared" si="11"/>
        <v>0.5</v>
      </c>
      <c r="L23" s="371">
        <f t="shared" si="11"/>
        <v>0.5</v>
      </c>
      <c r="M23" s="371">
        <f t="shared" si="11"/>
        <v>0.5</v>
      </c>
      <c r="N23" s="371">
        <f t="shared" si="11"/>
        <v>0.5</v>
      </c>
      <c r="O23" s="870">
        <f t="shared" si="11"/>
        <v>0.5</v>
      </c>
      <c r="P23" s="1131"/>
    </row>
    <row r="24" spans="1:16" s="35" customFormat="1" ht="15">
      <c r="A24" s="32" t="s">
        <v>236</v>
      </c>
      <c r="B24" s="368">
        <f>G12</f>
        <v>3</v>
      </c>
      <c r="C24" s="369">
        <f>B24</f>
        <v>3</v>
      </c>
      <c r="D24" s="369">
        <f aca="true" t="shared" si="12" ref="D24:O24">C24</f>
        <v>3</v>
      </c>
      <c r="E24" s="369">
        <f t="shared" si="12"/>
        <v>3</v>
      </c>
      <c r="F24" s="369">
        <f t="shared" si="12"/>
        <v>3</v>
      </c>
      <c r="G24" s="369">
        <f t="shared" si="12"/>
        <v>3</v>
      </c>
      <c r="H24" s="369">
        <f t="shared" si="12"/>
        <v>3</v>
      </c>
      <c r="I24" s="369">
        <f t="shared" si="12"/>
        <v>3</v>
      </c>
      <c r="J24" s="369">
        <f t="shared" si="12"/>
        <v>3</v>
      </c>
      <c r="K24" s="369">
        <f t="shared" si="12"/>
        <v>3</v>
      </c>
      <c r="L24" s="369">
        <f t="shared" si="12"/>
        <v>3</v>
      </c>
      <c r="M24" s="369">
        <f t="shared" si="12"/>
        <v>3</v>
      </c>
      <c r="N24" s="369">
        <f t="shared" si="12"/>
        <v>3</v>
      </c>
      <c r="O24" s="818">
        <f t="shared" si="12"/>
        <v>3</v>
      </c>
      <c r="P24" s="1131"/>
    </row>
    <row r="25" spans="1:16" s="35" customFormat="1" ht="15">
      <c r="A25" s="32" t="s">
        <v>256</v>
      </c>
      <c r="B25" s="368">
        <f>B14*B23*B24</f>
        <v>11372.699923325146</v>
      </c>
      <c r="C25" s="369">
        <f aca="true" t="shared" si="13" ref="C25:H25">C14*C23*C24</f>
        <v>12122.457460058014</v>
      </c>
      <c r="D25" s="369">
        <f t="shared" si="13"/>
        <v>13080.960216869371</v>
      </c>
      <c r="E25" s="369">
        <f t="shared" si="13"/>
        <v>13977.554732213903</v>
      </c>
      <c r="F25" s="369">
        <f t="shared" si="13"/>
        <v>15063.645068698901</v>
      </c>
      <c r="G25" s="369">
        <f t="shared" si="13"/>
        <v>16128.88382573483</v>
      </c>
      <c r="H25" s="369">
        <f t="shared" si="13"/>
        <v>17271.30816034238</v>
      </c>
      <c r="I25" s="369">
        <f>I14*I23*I24</f>
        <v>18495.833684182006</v>
      </c>
      <c r="J25" s="369">
        <f aca="true" t="shared" si="14" ref="J25:O25">J14*J23*J24</f>
        <v>19810.03714182732</v>
      </c>
      <c r="K25" s="369">
        <f t="shared" si="14"/>
        <v>21225.542476833412</v>
      </c>
      <c r="L25" s="369">
        <f t="shared" si="14"/>
        <v>22753.7423793017</v>
      </c>
      <c r="M25" s="369">
        <f t="shared" si="14"/>
        <v>24401.68125842281</v>
      </c>
      <c r="N25" s="369">
        <f t="shared" si="14"/>
        <v>26181.34308171263</v>
      </c>
      <c r="O25" s="818">
        <f t="shared" si="14"/>
        <v>28102.6714550733</v>
      </c>
      <c r="P25" s="1131"/>
    </row>
    <row r="26" spans="1:16" s="35" customFormat="1" ht="15">
      <c r="A26" s="32" t="s">
        <v>239</v>
      </c>
      <c r="B26" s="368">
        <f>B21*B25/1000</f>
        <v>0</v>
      </c>
      <c r="C26" s="369">
        <f aca="true" t="shared" si="15" ref="C26:H26">C21*C25/1000</f>
        <v>0</v>
      </c>
      <c r="D26" s="369">
        <f t="shared" si="15"/>
        <v>4097.397534351288</v>
      </c>
      <c r="E26" s="369">
        <f t="shared" si="15"/>
        <v>11135.920883552106</v>
      </c>
      <c r="F26" s="369">
        <f t="shared" si="15"/>
        <v>18307.61116587717</v>
      </c>
      <c r="G26" s="369">
        <f t="shared" si="15"/>
        <v>26571.304991874786</v>
      </c>
      <c r="H26" s="369">
        <f t="shared" si="15"/>
        <v>28917.847708777073</v>
      </c>
      <c r="I26" s="369">
        <f>I21*I25/1000</f>
        <v>31462.89033767671</v>
      </c>
      <c r="J26" s="369">
        <f aca="true" t="shared" si="16" ref="J26:O26">J21*J25/1000</f>
        <v>34226.997427464295</v>
      </c>
      <c r="K26" s="369">
        <f t="shared" si="16"/>
        <v>37233.06366346349</v>
      </c>
      <c r="L26" s="369">
        <f t="shared" si="16"/>
        <v>40509.94103854513</v>
      </c>
      <c r="M26" s="369">
        <f t="shared" si="16"/>
        <v>44076.09089774646</v>
      </c>
      <c r="N26" s="369">
        <f t="shared" si="16"/>
        <v>47961.37265314093</v>
      </c>
      <c r="O26" s="818">
        <f t="shared" si="16"/>
        <v>52193.885271012856</v>
      </c>
      <c r="P26" s="1131"/>
    </row>
    <row r="27" spans="1:16" s="35" customFormat="1" ht="15">
      <c r="A27" s="32"/>
      <c r="B27" s="368"/>
      <c r="C27" s="369"/>
      <c r="D27" s="369"/>
      <c r="E27" s="369"/>
      <c r="F27" s="369"/>
      <c r="G27" s="369"/>
      <c r="H27" s="369"/>
      <c r="I27" s="369"/>
      <c r="J27" s="369"/>
      <c r="K27" s="369"/>
      <c r="L27" s="369"/>
      <c r="M27" s="369"/>
      <c r="N27" s="369"/>
      <c r="O27" s="818"/>
      <c r="P27" s="1131"/>
    </row>
    <row r="28" spans="1:16" s="35" customFormat="1" ht="15">
      <c r="A28" s="32" t="s">
        <v>237</v>
      </c>
      <c r="B28" s="405">
        <f>10%*B26</f>
        <v>0</v>
      </c>
      <c r="C28" s="369">
        <f>10%*C26</f>
        <v>0</v>
      </c>
      <c r="D28" s="369">
        <f aca="true" t="shared" si="17" ref="D28:H28">10%*D26</f>
        <v>409.7397534351289</v>
      </c>
      <c r="E28" s="369">
        <f t="shared" si="17"/>
        <v>1113.5920883552105</v>
      </c>
      <c r="F28" s="369">
        <f t="shared" si="17"/>
        <v>1830.761116587717</v>
      </c>
      <c r="G28" s="369">
        <f t="shared" si="17"/>
        <v>2657.1304991874786</v>
      </c>
      <c r="H28" s="369">
        <f t="shared" si="17"/>
        <v>2891.7847708777076</v>
      </c>
      <c r="I28" s="369">
        <f>10%*I26</f>
        <v>3146.289033767671</v>
      </c>
      <c r="J28" s="369">
        <f aca="true" t="shared" si="18" ref="J28:O28">10%*J26</f>
        <v>3422.69974274643</v>
      </c>
      <c r="K28" s="369">
        <f t="shared" si="18"/>
        <v>3723.306366346349</v>
      </c>
      <c r="L28" s="369">
        <f t="shared" si="18"/>
        <v>4050.994103854513</v>
      </c>
      <c r="M28" s="369">
        <f t="shared" si="18"/>
        <v>4407.609089774646</v>
      </c>
      <c r="N28" s="369">
        <f t="shared" si="18"/>
        <v>4796.1372653140925</v>
      </c>
      <c r="O28" s="818">
        <f t="shared" si="18"/>
        <v>5219.388527101286</v>
      </c>
      <c r="P28" s="1131"/>
    </row>
    <row r="29" spans="1:16" s="35" customFormat="1" ht="15">
      <c r="A29" s="32" t="s">
        <v>257</v>
      </c>
      <c r="B29" s="368">
        <f>B26+B28</f>
        <v>0</v>
      </c>
      <c r="C29" s="369">
        <f aca="true" t="shared" si="19" ref="C29:H29">C26+C28</f>
        <v>0</v>
      </c>
      <c r="D29" s="369">
        <f t="shared" si="19"/>
        <v>4507.137287786417</v>
      </c>
      <c r="E29" s="369">
        <f t="shared" si="19"/>
        <v>12249.512971907316</v>
      </c>
      <c r="F29" s="369">
        <f t="shared" si="19"/>
        <v>20138.372282464887</v>
      </c>
      <c r="G29" s="369">
        <f t="shared" si="19"/>
        <v>29228.435491062264</v>
      </c>
      <c r="H29" s="369">
        <f t="shared" si="19"/>
        <v>31809.63247965478</v>
      </c>
      <c r="I29" s="369">
        <f>I26+I28</f>
        <v>34609.17937144438</v>
      </c>
      <c r="J29" s="369">
        <f aca="true" t="shared" si="20" ref="J29:O29">J26+J28</f>
        <v>37649.697170210726</v>
      </c>
      <c r="K29" s="369">
        <f t="shared" si="20"/>
        <v>40956.370029809834</v>
      </c>
      <c r="L29" s="369">
        <f t="shared" si="20"/>
        <v>44560.93514239964</v>
      </c>
      <c r="M29" s="369">
        <f t="shared" si="20"/>
        <v>48483.699987521104</v>
      </c>
      <c r="N29" s="369">
        <f t="shared" si="20"/>
        <v>52757.50991845502</v>
      </c>
      <c r="O29" s="818">
        <f t="shared" si="20"/>
        <v>57413.27379811414</v>
      </c>
      <c r="P29" s="1131"/>
    </row>
    <row r="30" spans="1:16" s="35" customFormat="1" ht="15">
      <c r="A30" s="32" t="s">
        <v>238</v>
      </c>
      <c r="B30" s="374">
        <f>B29/B17</f>
        <v>0</v>
      </c>
      <c r="C30" s="375">
        <f>C29/C17</f>
        <v>0</v>
      </c>
      <c r="D30" s="375">
        <f aca="true" t="shared" si="21" ref="D30:H30">D29/D17</f>
        <v>0.0013677083333333332</v>
      </c>
      <c r="E30" s="375">
        <f t="shared" si="21"/>
        <v>0.003419270833333333</v>
      </c>
      <c r="F30" s="375">
        <f t="shared" si="21"/>
        <v>0.00512890625</v>
      </c>
      <c r="G30" s="375">
        <f t="shared" si="21"/>
        <v>0.0068385416666666655</v>
      </c>
      <c r="H30" s="375">
        <f t="shared" si="21"/>
        <v>0.006838541666666667</v>
      </c>
      <c r="I30" s="375">
        <f>I29/I17</f>
        <v>0.0068385416666666655</v>
      </c>
      <c r="J30" s="375">
        <f aca="true" t="shared" si="22" ref="J30:O30">J29/J17</f>
        <v>0.0068385416666666655</v>
      </c>
      <c r="K30" s="375">
        <f t="shared" si="22"/>
        <v>0.006838541666666663</v>
      </c>
      <c r="L30" s="375">
        <f t="shared" si="22"/>
        <v>0.006838541666666667</v>
      </c>
      <c r="M30" s="375">
        <f t="shared" si="22"/>
        <v>0.006838541666666665</v>
      </c>
      <c r="N30" s="375">
        <f t="shared" si="22"/>
        <v>0.006838541666666666</v>
      </c>
      <c r="O30" s="1000">
        <f t="shared" si="22"/>
        <v>0.006838541666666665</v>
      </c>
      <c r="P30" s="1131"/>
    </row>
    <row r="31" spans="1:16" s="35" customFormat="1" ht="15">
      <c r="A31" s="32"/>
      <c r="B31" s="204"/>
      <c r="C31" s="205"/>
      <c r="D31" s="205"/>
      <c r="E31" s="205"/>
      <c r="F31" s="205"/>
      <c r="G31" s="205"/>
      <c r="H31" s="205"/>
      <c r="I31" s="205"/>
      <c r="J31" s="205"/>
      <c r="K31" s="205"/>
      <c r="L31" s="205"/>
      <c r="M31" s="205"/>
      <c r="N31" s="205"/>
      <c r="O31" s="1001"/>
      <c r="P31" s="1131"/>
    </row>
    <row r="32" spans="1:15" ht="15">
      <c r="A32" s="43" t="s">
        <v>84</v>
      </c>
      <c r="B32" s="44">
        <f>30%*B29</f>
        <v>0</v>
      </c>
      <c r="C32" s="45">
        <f aca="true" t="shared" si="23" ref="C32:H32">30%*C29</f>
        <v>0</v>
      </c>
      <c r="D32" s="45">
        <f t="shared" si="23"/>
        <v>1352.141186335925</v>
      </c>
      <c r="E32" s="45">
        <f t="shared" si="23"/>
        <v>3674.8538915721947</v>
      </c>
      <c r="F32" s="45">
        <f t="shared" si="23"/>
        <v>6041.511684739466</v>
      </c>
      <c r="G32" s="45">
        <f t="shared" si="23"/>
        <v>8768.53064731868</v>
      </c>
      <c r="H32" s="45">
        <f t="shared" si="23"/>
        <v>9542.889743896434</v>
      </c>
      <c r="I32" s="45">
        <f>30%*I29</f>
        <v>10382.753811433313</v>
      </c>
      <c r="J32" s="45">
        <f aca="true" t="shared" si="24" ref="J32:O32">30%*J29</f>
        <v>11294.909151063217</v>
      </c>
      <c r="K32" s="45">
        <f t="shared" si="24"/>
        <v>12286.91100894295</v>
      </c>
      <c r="L32" s="45">
        <f t="shared" si="24"/>
        <v>13368.280542719893</v>
      </c>
      <c r="M32" s="45">
        <f t="shared" si="24"/>
        <v>14545.109996256331</v>
      </c>
      <c r="N32" s="45">
        <f t="shared" si="24"/>
        <v>15827.252975536505</v>
      </c>
      <c r="O32" s="874">
        <f t="shared" si="24"/>
        <v>17223.98213943424</v>
      </c>
    </row>
    <row r="33" spans="1:15" ht="15">
      <c r="A33" s="43" t="s">
        <v>69</v>
      </c>
      <c r="B33" s="270">
        <f>B32/(ECO!L$66*1000)</f>
        <v>0</v>
      </c>
      <c r="C33" s="271">
        <f>C32/(ECO!M$66*1000)</f>
        <v>0</v>
      </c>
      <c r="D33" s="271">
        <f>D32/(ECO!N$66*1000)</f>
        <v>8.158742328058733E-05</v>
      </c>
      <c r="E33" s="271">
        <f>E32/(ECO!O$66*1000)</f>
        <v>0.0002015380178648315</v>
      </c>
      <c r="F33" s="271">
        <f>F32/(ECO!P$66*1000)</f>
        <v>0.0003014287482860263</v>
      </c>
      <c r="G33" s="271">
        <f>G32/(ECO!Q$66*1000)</f>
        <v>0.0003984632757433337</v>
      </c>
      <c r="H33" s="271">
        <f>H32/(ECO!R$66*1000)</f>
        <v>0.00040910568782751553</v>
      </c>
      <c r="I33" s="271">
        <f>I32/(ECO!S$66*1000)</f>
        <v>0.0004199158837908164</v>
      </c>
      <c r="J33" s="271">
        <f>J32/(ECO!T$66*1000)</f>
        <v>0.0004309497399684912</v>
      </c>
      <c r="K33" s="271">
        <f>K32/(ECO!U$66*1000)</f>
        <v>0.0004422631231219809</v>
      </c>
      <c r="L33" s="271">
        <f>L32/(ECO!V$66*1000)</f>
        <v>0.0004539496664600578</v>
      </c>
      <c r="M33" s="271">
        <f>M32/(ECO!W$66*1000)</f>
        <v>0.00046595426900502776</v>
      </c>
      <c r="N33" s="271">
        <f>N32/(ECO!X$66*1000)</f>
        <v>0.0004783281760188993</v>
      </c>
      <c r="O33" s="968">
        <f>O32/(ECO!Y$66*1000)</f>
        <v>0.0004910753344051855</v>
      </c>
    </row>
    <row r="34" spans="1:15" ht="15">
      <c r="A34" s="969" t="s">
        <v>71</v>
      </c>
      <c r="B34" s="970">
        <f>B32/('GGO (SQ)'!L$24*1000)</f>
        <v>0</v>
      </c>
      <c r="C34" s="964">
        <f>C32/('GGO (SQ)'!M$24*1000)</f>
        <v>0</v>
      </c>
      <c r="D34" s="964">
        <f>D32/('GGO (SQ)'!N$24*1000)</f>
        <v>0.0005201683601776832</v>
      </c>
      <c r="E34" s="964">
        <f>E32/('GGO (SQ)'!O$24*1000)</f>
        <v>0.0012849247598576117</v>
      </c>
      <c r="F34" s="964">
        <f>F32/('GGO (SQ)'!P$24*1000)</f>
        <v>0.001921787591785129</v>
      </c>
      <c r="G34" s="964">
        <f>G32/('GGO (SQ)'!Q$24*1000)</f>
        <v>0.002540440430648514</v>
      </c>
      <c r="H34" s="964">
        <f>H32/('GGO (SQ)'!R$24*1000)</f>
        <v>0.0026082921389090586</v>
      </c>
      <c r="I34" s="964">
        <f>I32/('GGO (SQ)'!S$24*1000)</f>
        <v>0.0026772135692144524</v>
      </c>
      <c r="J34" s="964">
        <f>J32/('GGO (SQ)'!T$24*1000)</f>
        <v>0.002747560966443053</v>
      </c>
      <c r="K34" s="964">
        <f>K32/('GGO (SQ)'!U$24*1000)</f>
        <v>0.0028196905144344635</v>
      </c>
      <c r="L34" s="964">
        <f>L32/('GGO (SQ)'!V$24*1000)</f>
        <v>0.0028941991805974663</v>
      </c>
      <c r="M34" s="964">
        <f>M32/('GGO (SQ)'!W$24*1000)</f>
        <v>0.0029707356634194157</v>
      </c>
      <c r="N34" s="964">
        <f>N32/('GGO (SQ)'!X$24*1000)</f>
        <v>0.0030496266819316793</v>
      </c>
      <c r="O34" s="971">
        <f>O32/('GGO (SQ)'!Y$24*1000)</f>
        <v>0.0031308973999921844</v>
      </c>
    </row>
    <row r="35" ht="15">
      <c r="B35" s="21"/>
    </row>
    <row r="36" spans="1:16" ht="14.25" customHeight="1">
      <c r="A36" s="1117" t="s">
        <v>353</v>
      </c>
      <c r="B36" s="1118"/>
      <c r="C36" s="1118"/>
      <c r="D36" s="1118"/>
      <c r="E36" s="1118"/>
      <c r="F36" s="1118"/>
      <c r="G36" s="1118"/>
      <c r="H36" s="1118"/>
      <c r="I36" s="1118"/>
      <c r="J36" s="1118"/>
      <c r="K36" s="1118"/>
      <c r="L36" s="1118"/>
      <c r="M36" s="1118"/>
      <c r="N36" s="1118"/>
      <c r="O36" s="1119"/>
      <c r="P36" s="1131" t="s">
        <v>468</v>
      </c>
    </row>
    <row r="37" spans="1:16" ht="14.25" customHeight="1">
      <c r="A37" s="1138" t="s">
        <v>320</v>
      </c>
      <c r="B37" s="1123"/>
      <c r="C37" s="642">
        <v>0.5</v>
      </c>
      <c r="D37" s="1123" t="s">
        <v>319</v>
      </c>
      <c r="E37" s="1123"/>
      <c r="F37" s="1123"/>
      <c r="G37" s="641">
        <v>4</v>
      </c>
      <c r="H37" s="916"/>
      <c r="I37" s="1002"/>
      <c r="J37" s="1002"/>
      <c r="K37" s="1002"/>
      <c r="L37" s="1002"/>
      <c r="M37" s="1002"/>
      <c r="N37" s="1002"/>
      <c r="O37" s="691"/>
      <c r="P37" s="1131"/>
    </row>
    <row r="38" spans="1:16" ht="15">
      <c r="A38" s="30" t="s">
        <v>232</v>
      </c>
      <c r="B38" s="368">
        <f>POP!L$95</f>
        <v>33752.99863443981</v>
      </c>
      <c r="C38" s="369">
        <f>POP!M$95</f>
        <v>34375.5875550936</v>
      </c>
      <c r="D38" s="369">
        <f>POP!N$95</f>
        <v>34989.293439618414</v>
      </c>
      <c r="E38" s="369">
        <f>POP!O$95</f>
        <v>35597.67406255785</v>
      </c>
      <c r="F38" s="369">
        <f>POP!P$95</f>
        <v>36202.37257773892</v>
      </c>
      <c r="G38" s="369">
        <f>POP!Q$95</f>
        <v>36804.86778534744</v>
      </c>
      <c r="H38" s="369">
        <f>POP!R$95</f>
        <v>37405.66882966946</v>
      </c>
      <c r="I38" s="369">
        <f>POP!S$95</f>
        <v>38003.30755481213</v>
      </c>
      <c r="J38" s="369">
        <f>POP!T$95</f>
        <v>38599.368876953566</v>
      </c>
      <c r="K38" s="369">
        <f>POP!U$95</f>
        <v>39189.224151393806</v>
      </c>
      <c r="L38" s="369">
        <f>POP!V$95</f>
        <v>39774.567486724074</v>
      </c>
      <c r="M38" s="369">
        <f>POP!W$95</f>
        <v>40353.38876489049</v>
      </c>
      <c r="N38" s="369">
        <f>POP!X$95</f>
        <v>40925.72424732374</v>
      </c>
      <c r="O38" s="818">
        <f>POP!Y$95</f>
        <v>41492.41488674328</v>
      </c>
      <c r="P38" s="1131"/>
    </row>
    <row r="39" spans="1:16" s="35" customFormat="1" ht="15">
      <c r="A39" s="32" t="s">
        <v>255</v>
      </c>
      <c r="B39" s="368">
        <f>ECO!L$76*20</f>
        <v>7581.799948883431</v>
      </c>
      <c r="C39" s="369">
        <f>ECO!M$76*20</f>
        <v>8081.638306705343</v>
      </c>
      <c r="D39" s="369">
        <f>ECO!N$76*20</f>
        <v>8720.64014457958</v>
      </c>
      <c r="E39" s="369">
        <f>ECO!O$76*20</f>
        <v>9318.369821475935</v>
      </c>
      <c r="F39" s="369">
        <f>ECO!P$76*20</f>
        <v>10042.430045799267</v>
      </c>
      <c r="G39" s="369">
        <f>ECO!Q$76*20</f>
        <v>10752.589217156554</v>
      </c>
      <c r="H39" s="369">
        <f>ECO!R$76*20</f>
        <v>11514.205440228254</v>
      </c>
      <c r="I39" s="369">
        <f>ECO!S$76*20</f>
        <v>12330.55578945467</v>
      </c>
      <c r="J39" s="369">
        <f>ECO!T$76*20</f>
        <v>13206.69142788488</v>
      </c>
      <c r="K39" s="369">
        <f>ECO!U$76*20</f>
        <v>14150.361651222276</v>
      </c>
      <c r="L39" s="369">
        <f>ECO!V$76*20</f>
        <v>15169.161586201133</v>
      </c>
      <c r="M39" s="369">
        <f>ECO!W$76*20</f>
        <v>16267.787505615208</v>
      </c>
      <c r="N39" s="369">
        <f>ECO!X$76*20</f>
        <v>17454.228721141753</v>
      </c>
      <c r="O39" s="818">
        <f>ECO!Y$76*20</f>
        <v>18735.1143033822</v>
      </c>
      <c r="P39" s="1131"/>
    </row>
    <row r="40" spans="1:16" s="35" customFormat="1" ht="15">
      <c r="A40" s="32" t="s">
        <v>234</v>
      </c>
      <c r="B40" s="368">
        <f>B38*B39*12/1000</f>
        <v>3070901.7998550995</v>
      </c>
      <c r="C40" s="369">
        <f aca="true" t="shared" si="25" ref="C40:O40">C38*C39*12/1000</f>
        <v>3333732.7824089746</v>
      </c>
      <c r="D40" s="369">
        <f t="shared" si="25"/>
        <v>3661548.4440001356</v>
      </c>
      <c r="E40" s="369">
        <f t="shared" si="25"/>
        <v>3980547.5003913087</v>
      </c>
      <c r="F40" s="369">
        <f t="shared" si="25"/>
        <v>4362717.529246857</v>
      </c>
      <c r="G40" s="369">
        <f t="shared" si="25"/>
        <v>4748971.493851193</v>
      </c>
      <c r="H40" s="369">
        <f t="shared" si="25"/>
        <v>5168358.666407478</v>
      </c>
      <c r="I40" s="369">
        <f t="shared" si="25"/>
        <v>5623222.847860981</v>
      </c>
      <c r="J40" s="369">
        <f t="shared" si="25"/>
        <v>6117239.448828349</v>
      </c>
      <c r="K40" s="369">
        <f t="shared" si="25"/>
        <v>6654500.334876442</v>
      </c>
      <c r="L40" s="369">
        <f t="shared" si="25"/>
        <v>7240162.094728552</v>
      </c>
      <c r="M40" s="369">
        <f t="shared" si="25"/>
        <v>7877524.242704624</v>
      </c>
      <c r="N40" s="369">
        <f t="shared" si="25"/>
        <v>8571923.419093987</v>
      </c>
      <c r="O40" s="818">
        <f t="shared" si="25"/>
        <v>9328381.627517913</v>
      </c>
      <c r="P40" s="1131"/>
    </row>
    <row r="41" spans="1:16" s="35" customFormat="1" ht="15">
      <c r="A41" s="32" t="s">
        <v>235</v>
      </c>
      <c r="B41" s="372">
        <v>0.1</v>
      </c>
      <c r="C41" s="373">
        <f aca="true" t="shared" si="26" ref="C41:O41">B41</f>
        <v>0.1</v>
      </c>
      <c r="D41" s="373">
        <f t="shared" si="26"/>
        <v>0.1</v>
      </c>
      <c r="E41" s="373">
        <f t="shared" si="26"/>
        <v>0.1</v>
      </c>
      <c r="F41" s="373">
        <f t="shared" si="26"/>
        <v>0.1</v>
      </c>
      <c r="G41" s="373">
        <f t="shared" si="26"/>
        <v>0.1</v>
      </c>
      <c r="H41" s="373">
        <f t="shared" si="26"/>
        <v>0.1</v>
      </c>
      <c r="I41" s="373">
        <f t="shared" si="26"/>
        <v>0.1</v>
      </c>
      <c r="J41" s="373">
        <f t="shared" si="26"/>
        <v>0.1</v>
      </c>
      <c r="K41" s="373">
        <f t="shared" si="26"/>
        <v>0.1</v>
      </c>
      <c r="L41" s="373">
        <f t="shared" si="26"/>
        <v>0.1</v>
      </c>
      <c r="M41" s="373">
        <f t="shared" si="26"/>
        <v>0.1</v>
      </c>
      <c r="N41" s="373">
        <f t="shared" si="26"/>
        <v>0.1</v>
      </c>
      <c r="O41" s="999">
        <f t="shared" si="26"/>
        <v>0.1</v>
      </c>
      <c r="P41" s="1131"/>
    </row>
    <row r="42" spans="1:16" s="35" customFormat="1" ht="15">
      <c r="A42" s="32" t="s">
        <v>233</v>
      </c>
      <c r="B42" s="368">
        <f>B40*(1-B41)</f>
        <v>2763811.61986959</v>
      </c>
      <c r="C42" s="369">
        <f aca="true" t="shared" si="27" ref="C42:O42">C40*(1-C41)</f>
        <v>3000359.5041680774</v>
      </c>
      <c r="D42" s="369">
        <f t="shared" si="27"/>
        <v>3295393.5996001223</v>
      </c>
      <c r="E42" s="369">
        <f t="shared" si="27"/>
        <v>3582492.750352178</v>
      </c>
      <c r="F42" s="369">
        <f t="shared" si="27"/>
        <v>3926445.7763221716</v>
      </c>
      <c r="G42" s="369">
        <f t="shared" si="27"/>
        <v>4274074.344466074</v>
      </c>
      <c r="H42" s="369">
        <f t="shared" si="27"/>
        <v>4651522.7997667305</v>
      </c>
      <c r="I42" s="369">
        <f t="shared" si="27"/>
        <v>5060900.563074883</v>
      </c>
      <c r="J42" s="369">
        <f t="shared" si="27"/>
        <v>5505515.503945515</v>
      </c>
      <c r="K42" s="369">
        <f t="shared" si="27"/>
        <v>5989050.301388798</v>
      </c>
      <c r="L42" s="369">
        <f t="shared" si="27"/>
        <v>6516145.885255697</v>
      </c>
      <c r="M42" s="369">
        <f t="shared" si="27"/>
        <v>7089771.818434162</v>
      </c>
      <c r="N42" s="369">
        <f t="shared" si="27"/>
        <v>7714731.077184589</v>
      </c>
      <c r="O42" s="818">
        <f t="shared" si="27"/>
        <v>8395543.464766122</v>
      </c>
      <c r="P42" s="1131"/>
    </row>
    <row r="43" spans="1:16" s="35" customFormat="1" ht="15">
      <c r="A43" s="32"/>
      <c r="B43" s="368"/>
      <c r="C43" s="369"/>
      <c r="D43" s="369"/>
      <c r="E43" s="369"/>
      <c r="F43" s="369"/>
      <c r="G43" s="369"/>
      <c r="H43" s="369"/>
      <c r="I43" s="369"/>
      <c r="J43" s="369"/>
      <c r="K43" s="369"/>
      <c r="L43" s="369"/>
      <c r="M43" s="369"/>
      <c r="N43" s="369"/>
      <c r="O43" s="818"/>
      <c r="P43" s="1131"/>
    </row>
    <row r="44" spans="1:16" s="35" customFormat="1" ht="15">
      <c r="A44" s="32" t="s">
        <v>370</v>
      </c>
      <c r="B44" s="368">
        <f>B38*ECO!L42</f>
        <v>1977.925719978173</v>
      </c>
      <c r="C44" s="369">
        <f>C38*ECO!M42</f>
        <v>1538.6981747672012</v>
      </c>
      <c r="D44" s="369">
        <f>D38*ECO!N42</f>
        <v>1566.1684870301924</v>
      </c>
      <c r="E44" s="369">
        <f>E38*ECO!O42</f>
        <v>1593.400433322902</v>
      </c>
      <c r="F44" s="369">
        <f>F38*ECO!P42</f>
        <v>1620.4675634512907</v>
      </c>
      <c r="G44" s="369">
        <f>G38*ECO!Q42</f>
        <v>1647.436070528222</v>
      </c>
      <c r="H44" s="369">
        <f>H38*ECO!R42</f>
        <v>1674.3287445462274</v>
      </c>
      <c r="I44" s="369">
        <f>I38*ECO!S42</f>
        <v>1701.0798688455109</v>
      </c>
      <c r="J44" s="369">
        <f>J38*ECO!T42</f>
        <v>1727.7603864354555</v>
      </c>
      <c r="K44" s="369">
        <f>K38*ECO!U42</f>
        <v>1754.1631128675022</v>
      </c>
      <c r="L44" s="369">
        <f>L38*ECO!V42</f>
        <v>1780.3638787523423</v>
      </c>
      <c r="M44" s="369">
        <f>M38*ECO!W42</f>
        <v>1806.272708464814</v>
      </c>
      <c r="N44" s="369">
        <f>N38*ECO!X42</f>
        <v>1831.8912251160025</v>
      </c>
      <c r="O44" s="818">
        <f>O38*ECO!Y42</f>
        <v>1857.2570708963838</v>
      </c>
      <c r="P44" s="1131"/>
    </row>
    <row r="45" spans="1:16" s="35" customFormat="1" ht="15">
      <c r="A45" s="32" t="s">
        <v>74</v>
      </c>
      <c r="B45" s="370">
        <v>0</v>
      </c>
      <c r="C45" s="371">
        <v>0</v>
      </c>
      <c r="D45" s="371">
        <v>0.25</v>
      </c>
      <c r="E45" s="371">
        <v>0.5</v>
      </c>
      <c r="F45" s="371">
        <v>0.75</v>
      </c>
      <c r="G45" s="371">
        <v>1</v>
      </c>
      <c r="H45" s="371">
        <v>1</v>
      </c>
      <c r="I45" s="371">
        <v>1</v>
      </c>
      <c r="J45" s="371">
        <v>1</v>
      </c>
      <c r="K45" s="371">
        <v>1</v>
      </c>
      <c r="L45" s="371">
        <v>1</v>
      </c>
      <c r="M45" s="371">
        <v>1</v>
      </c>
      <c r="N45" s="371">
        <v>1</v>
      </c>
      <c r="O45" s="870">
        <v>1</v>
      </c>
      <c r="P45" s="1131"/>
    </row>
    <row r="46" spans="1:16" s="35" customFormat="1" ht="15">
      <c r="A46" s="32" t="s">
        <v>70</v>
      </c>
      <c r="B46" s="368">
        <f>B44*B45</f>
        <v>0</v>
      </c>
      <c r="C46" s="369">
        <f aca="true" t="shared" si="28" ref="C46:O46">C44*C45</f>
        <v>0</v>
      </c>
      <c r="D46" s="369">
        <f t="shared" si="28"/>
        <v>391.5421217575481</v>
      </c>
      <c r="E46" s="369">
        <f t="shared" si="28"/>
        <v>796.700216661451</v>
      </c>
      <c r="F46" s="369">
        <f t="shared" si="28"/>
        <v>1215.3506725884681</v>
      </c>
      <c r="G46" s="369">
        <f t="shared" si="28"/>
        <v>1647.436070528222</v>
      </c>
      <c r="H46" s="369">
        <f t="shared" si="28"/>
        <v>1674.3287445462274</v>
      </c>
      <c r="I46" s="369">
        <f t="shared" si="28"/>
        <v>1701.0798688455109</v>
      </c>
      <c r="J46" s="369">
        <f t="shared" si="28"/>
        <v>1727.7603864354555</v>
      </c>
      <c r="K46" s="369">
        <f t="shared" si="28"/>
        <v>1754.1631128675022</v>
      </c>
      <c r="L46" s="369">
        <f t="shared" si="28"/>
        <v>1780.3638787523423</v>
      </c>
      <c r="M46" s="369">
        <f t="shared" si="28"/>
        <v>1806.272708464814</v>
      </c>
      <c r="N46" s="369">
        <f t="shared" si="28"/>
        <v>1831.8912251160025</v>
      </c>
      <c r="O46" s="818">
        <f t="shared" si="28"/>
        <v>1857.2570708963838</v>
      </c>
      <c r="P46" s="1131"/>
    </row>
    <row r="47" spans="1:16" s="35" customFormat="1" ht="15">
      <c r="A47" s="32"/>
      <c r="B47" s="368"/>
      <c r="C47" s="369"/>
      <c r="D47" s="369"/>
      <c r="E47" s="369"/>
      <c r="F47" s="369"/>
      <c r="G47" s="369"/>
      <c r="H47" s="369"/>
      <c r="I47" s="369"/>
      <c r="J47" s="369"/>
      <c r="K47" s="369"/>
      <c r="L47" s="369"/>
      <c r="M47" s="369"/>
      <c r="N47" s="369"/>
      <c r="O47" s="818"/>
      <c r="P47" s="1131"/>
    </row>
    <row r="48" spans="1:16" s="35" customFormat="1" ht="15">
      <c r="A48" s="32" t="s">
        <v>240</v>
      </c>
      <c r="B48" s="370">
        <f>$C$37</f>
        <v>0.5</v>
      </c>
      <c r="C48" s="371">
        <f aca="true" t="shared" si="29" ref="C48:O49">B48</f>
        <v>0.5</v>
      </c>
      <c r="D48" s="371">
        <f t="shared" si="29"/>
        <v>0.5</v>
      </c>
      <c r="E48" s="371">
        <f t="shared" si="29"/>
        <v>0.5</v>
      </c>
      <c r="F48" s="371">
        <f t="shared" si="29"/>
        <v>0.5</v>
      </c>
      <c r="G48" s="371">
        <f t="shared" si="29"/>
        <v>0.5</v>
      </c>
      <c r="H48" s="371">
        <f t="shared" si="29"/>
        <v>0.5</v>
      </c>
      <c r="I48" s="371">
        <f t="shared" si="29"/>
        <v>0.5</v>
      </c>
      <c r="J48" s="371">
        <f t="shared" si="29"/>
        <v>0.5</v>
      </c>
      <c r="K48" s="371">
        <f t="shared" si="29"/>
        <v>0.5</v>
      </c>
      <c r="L48" s="371">
        <f t="shared" si="29"/>
        <v>0.5</v>
      </c>
      <c r="M48" s="371">
        <f t="shared" si="29"/>
        <v>0.5</v>
      </c>
      <c r="N48" s="371">
        <f t="shared" si="29"/>
        <v>0.5</v>
      </c>
      <c r="O48" s="870">
        <f t="shared" si="29"/>
        <v>0.5</v>
      </c>
      <c r="P48" s="1131"/>
    </row>
    <row r="49" spans="1:16" s="35" customFormat="1" ht="15">
      <c r="A49" s="32" t="s">
        <v>236</v>
      </c>
      <c r="B49" s="368">
        <f>$G$37</f>
        <v>4</v>
      </c>
      <c r="C49" s="369">
        <f t="shared" si="29"/>
        <v>4</v>
      </c>
      <c r="D49" s="369">
        <f t="shared" si="29"/>
        <v>4</v>
      </c>
      <c r="E49" s="369">
        <f t="shared" si="29"/>
        <v>4</v>
      </c>
      <c r="F49" s="369">
        <f t="shared" si="29"/>
        <v>4</v>
      </c>
      <c r="G49" s="369">
        <f t="shared" si="29"/>
        <v>4</v>
      </c>
      <c r="H49" s="369">
        <f t="shared" si="29"/>
        <v>4</v>
      </c>
      <c r="I49" s="369">
        <f t="shared" si="29"/>
        <v>4</v>
      </c>
      <c r="J49" s="369">
        <f t="shared" si="29"/>
        <v>4</v>
      </c>
      <c r="K49" s="369">
        <f t="shared" si="29"/>
        <v>4</v>
      </c>
      <c r="L49" s="369">
        <f t="shared" si="29"/>
        <v>4</v>
      </c>
      <c r="M49" s="369">
        <f t="shared" si="29"/>
        <v>4</v>
      </c>
      <c r="N49" s="369">
        <f t="shared" si="29"/>
        <v>4</v>
      </c>
      <c r="O49" s="818">
        <f t="shared" si="29"/>
        <v>4</v>
      </c>
      <c r="P49" s="1131"/>
    </row>
    <row r="50" spans="1:16" s="35" customFormat="1" ht="15">
      <c r="A50" s="32" t="s">
        <v>256</v>
      </c>
      <c r="B50" s="368">
        <f>B39*B48*B49</f>
        <v>15163.599897766862</v>
      </c>
      <c r="C50" s="369">
        <f aca="true" t="shared" si="30" ref="C50:H50">C39*C48*C49</f>
        <v>16163.276613410686</v>
      </c>
      <c r="D50" s="369">
        <f t="shared" si="30"/>
        <v>17441.28028915916</v>
      </c>
      <c r="E50" s="369">
        <f t="shared" si="30"/>
        <v>18636.73964295187</v>
      </c>
      <c r="F50" s="369">
        <f t="shared" si="30"/>
        <v>20084.860091598533</v>
      </c>
      <c r="G50" s="369">
        <f t="shared" si="30"/>
        <v>21505.178434313108</v>
      </c>
      <c r="H50" s="369">
        <f t="shared" si="30"/>
        <v>23028.410880456508</v>
      </c>
      <c r="I50" s="369">
        <f>I39*I48*I49</f>
        <v>24661.11157890934</v>
      </c>
      <c r="J50" s="369">
        <f aca="true" t="shared" si="31" ref="J50:O50">J39*J48*J49</f>
        <v>26413.38285576976</v>
      </c>
      <c r="K50" s="369">
        <f t="shared" si="31"/>
        <v>28300.723302444552</v>
      </c>
      <c r="L50" s="369">
        <f t="shared" si="31"/>
        <v>30338.323172402266</v>
      </c>
      <c r="M50" s="369">
        <f t="shared" si="31"/>
        <v>32535.575011230416</v>
      </c>
      <c r="N50" s="369">
        <f t="shared" si="31"/>
        <v>34908.45744228351</v>
      </c>
      <c r="O50" s="818">
        <f t="shared" si="31"/>
        <v>37470.2286067644</v>
      </c>
      <c r="P50" s="1131"/>
    </row>
    <row r="51" spans="1:16" s="35" customFormat="1" ht="15">
      <c r="A51" s="32" t="s">
        <v>239</v>
      </c>
      <c r="B51" s="368">
        <f>B46*B50/1000</f>
        <v>0</v>
      </c>
      <c r="C51" s="369">
        <f aca="true" t="shared" si="32" ref="C51:O51">C46*C50/1000</f>
        <v>0</v>
      </c>
      <c r="D51" s="369">
        <f t="shared" si="32"/>
        <v>6828.995890585479</v>
      </c>
      <c r="E51" s="369">
        <f t="shared" si="32"/>
        <v>14847.894511402808</v>
      </c>
      <c r="F51" s="369">
        <f t="shared" si="32"/>
        <v>24410.14822116956</v>
      </c>
      <c r="G51" s="369">
        <f t="shared" si="32"/>
        <v>35428.40665583305</v>
      </c>
      <c r="H51" s="369">
        <f t="shared" si="32"/>
        <v>38557.13027836943</v>
      </c>
      <c r="I51" s="369">
        <f t="shared" si="32"/>
        <v>41950.52045023561</v>
      </c>
      <c r="J51" s="369">
        <f t="shared" si="32"/>
        <v>45635.9965699524</v>
      </c>
      <c r="K51" s="369">
        <f t="shared" si="32"/>
        <v>49644.084884617994</v>
      </c>
      <c r="L51" s="369">
        <f t="shared" si="32"/>
        <v>54013.25471806017</v>
      </c>
      <c r="M51" s="369">
        <f t="shared" si="32"/>
        <v>58768.121196995286</v>
      </c>
      <c r="N51" s="369">
        <f t="shared" si="32"/>
        <v>63948.49687085457</v>
      </c>
      <c r="O51" s="818">
        <f t="shared" si="32"/>
        <v>69591.84702801713</v>
      </c>
      <c r="P51" s="1131"/>
    </row>
    <row r="52" spans="1:16" s="35" customFormat="1" ht="15">
      <c r="A52" s="32"/>
      <c r="B52" s="368"/>
      <c r="C52" s="369"/>
      <c r="D52" s="369"/>
      <c r="E52" s="369"/>
      <c r="F52" s="369"/>
      <c r="G52" s="369"/>
      <c r="H52" s="369"/>
      <c r="I52" s="369"/>
      <c r="J52" s="369"/>
      <c r="K52" s="369"/>
      <c r="L52" s="369"/>
      <c r="M52" s="369"/>
      <c r="N52" s="369"/>
      <c r="O52" s="818"/>
      <c r="P52" s="1131"/>
    </row>
    <row r="53" spans="1:16" s="35" customFormat="1" ht="15">
      <c r="A53" s="32" t="s">
        <v>237</v>
      </c>
      <c r="B53" s="405">
        <f>10%*B51</f>
        <v>0</v>
      </c>
      <c r="C53" s="369">
        <f>10%*C51</f>
        <v>0</v>
      </c>
      <c r="D53" s="369">
        <f aca="true" t="shared" si="33" ref="D53:O53">10%*D51</f>
        <v>682.8995890585479</v>
      </c>
      <c r="E53" s="369">
        <f t="shared" si="33"/>
        <v>1484.789451140281</v>
      </c>
      <c r="F53" s="369">
        <f t="shared" si="33"/>
        <v>2441.014822116956</v>
      </c>
      <c r="G53" s="369">
        <f t="shared" si="33"/>
        <v>3542.8406655833055</v>
      </c>
      <c r="H53" s="369">
        <f t="shared" si="33"/>
        <v>3855.7130278369427</v>
      </c>
      <c r="I53" s="369">
        <f t="shared" si="33"/>
        <v>4195.052045023561</v>
      </c>
      <c r="J53" s="369">
        <f t="shared" si="33"/>
        <v>4563.5996569952395</v>
      </c>
      <c r="K53" s="369">
        <f t="shared" si="33"/>
        <v>4964.4084884618</v>
      </c>
      <c r="L53" s="369">
        <f t="shared" si="33"/>
        <v>5401.325471806017</v>
      </c>
      <c r="M53" s="369">
        <f t="shared" si="33"/>
        <v>5876.812119699529</v>
      </c>
      <c r="N53" s="369">
        <f t="shared" si="33"/>
        <v>6394.849687085458</v>
      </c>
      <c r="O53" s="818">
        <f t="shared" si="33"/>
        <v>6959.184702801714</v>
      </c>
      <c r="P53" s="1131"/>
    </row>
    <row r="54" spans="1:16" s="35" customFormat="1" ht="15">
      <c r="A54" s="32" t="s">
        <v>257</v>
      </c>
      <c r="B54" s="368">
        <f>B51+B53</f>
        <v>0</v>
      </c>
      <c r="C54" s="369">
        <f aca="true" t="shared" si="34" ref="C54:O54">C51+C53</f>
        <v>0</v>
      </c>
      <c r="D54" s="369">
        <f t="shared" si="34"/>
        <v>7511.895479644027</v>
      </c>
      <c r="E54" s="369">
        <f t="shared" si="34"/>
        <v>16332.68396254309</v>
      </c>
      <c r="F54" s="369">
        <f t="shared" si="34"/>
        <v>26851.163043286513</v>
      </c>
      <c r="G54" s="369">
        <f t="shared" si="34"/>
        <v>38971.247321416355</v>
      </c>
      <c r="H54" s="369">
        <f t="shared" si="34"/>
        <v>42412.84330620637</v>
      </c>
      <c r="I54" s="369">
        <f t="shared" si="34"/>
        <v>46145.57249525917</v>
      </c>
      <c r="J54" s="369">
        <f t="shared" si="34"/>
        <v>50199.59622694764</v>
      </c>
      <c r="K54" s="369">
        <f t="shared" si="34"/>
        <v>54608.49337307979</v>
      </c>
      <c r="L54" s="369">
        <f t="shared" si="34"/>
        <v>59414.58018986619</v>
      </c>
      <c r="M54" s="369">
        <f t="shared" si="34"/>
        <v>64644.93331669481</v>
      </c>
      <c r="N54" s="369">
        <f t="shared" si="34"/>
        <v>70343.34655794004</v>
      </c>
      <c r="O54" s="818">
        <f t="shared" si="34"/>
        <v>76551.03173081884</v>
      </c>
      <c r="P54" s="1131"/>
    </row>
    <row r="55" spans="1:16" s="35" customFormat="1" ht="15">
      <c r="A55" s="32" t="s">
        <v>238</v>
      </c>
      <c r="B55" s="374">
        <f>B54/B42</f>
        <v>0</v>
      </c>
      <c r="C55" s="375">
        <f>C54/C42</f>
        <v>0</v>
      </c>
      <c r="D55" s="375">
        <f aca="true" t="shared" si="35" ref="D55:O55">D54/D42</f>
        <v>0.002279513888888888</v>
      </c>
      <c r="E55" s="375">
        <f t="shared" si="35"/>
        <v>0.004559027777777778</v>
      </c>
      <c r="F55" s="375">
        <f t="shared" si="35"/>
        <v>0.0068385416666666655</v>
      </c>
      <c r="G55" s="375">
        <f t="shared" si="35"/>
        <v>0.009118055555555555</v>
      </c>
      <c r="H55" s="375">
        <f t="shared" si="35"/>
        <v>0.009118055555555556</v>
      </c>
      <c r="I55" s="375">
        <f t="shared" si="35"/>
        <v>0.009118055555555555</v>
      </c>
      <c r="J55" s="375">
        <f t="shared" si="35"/>
        <v>0.009118055555555555</v>
      </c>
      <c r="K55" s="375">
        <f t="shared" si="35"/>
        <v>0.009118055555555553</v>
      </c>
      <c r="L55" s="375">
        <f t="shared" si="35"/>
        <v>0.009118055555555556</v>
      </c>
      <c r="M55" s="375">
        <f t="shared" si="35"/>
        <v>0.009118055555555555</v>
      </c>
      <c r="N55" s="375">
        <f t="shared" si="35"/>
        <v>0.009118055555555556</v>
      </c>
      <c r="O55" s="1000">
        <f t="shared" si="35"/>
        <v>0.009118055555555551</v>
      </c>
      <c r="P55" s="1131"/>
    </row>
    <row r="56" spans="1:16" s="35" customFormat="1" ht="15">
      <c r="A56" s="32"/>
      <c r="B56" s="204"/>
      <c r="C56" s="205"/>
      <c r="D56" s="205"/>
      <c r="E56" s="205"/>
      <c r="F56" s="205"/>
      <c r="G56" s="205"/>
      <c r="H56" s="205"/>
      <c r="I56" s="205"/>
      <c r="J56" s="205"/>
      <c r="K56" s="205"/>
      <c r="L56" s="205"/>
      <c r="M56" s="205"/>
      <c r="N56" s="205"/>
      <c r="O56" s="1001"/>
      <c r="P56" s="1131"/>
    </row>
    <row r="57" spans="1:15" ht="15">
      <c r="A57" s="43" t="s">
        <v>87</v>
      </c>
      <c r="B57" s="44">
        <f>30%*B54</f>
        <v>0</v>
      </c>
      <c r="C57" s="45">
        <f aca="true" t="shared" si="36" ref="C57:O57">30%*C54</f>
        <v>0</v>
      </c>
      <c r="D57" s="45">
        <f t="shared" si="36"/>
        <v>2253.568643893208</v>
      </c>
      <c r="E57" s="45">
        <f t="shared" si="36"/>
        <v>4899.805188762926</v>
      </c>
      <c r="F57" s="45">
        <f t="shared" si="36"/>
        <v>8055.348912985954</v>
      </c>
      <c r="G57" s="45">
        <f t="shared" si="36"/>
        <v>11691.374196424906</v>
      </c>
      <c r="H57" s="45">
        <f t="shared" si="36"/>
        <v>12723.852991861912</v>
      </c>
      <c r="I57" s="45">
        <f t="shared" si="36"/>
        <v>13843.67174857775</v>
      </c>
      <c r="J57" s="45">
        <f>30%*J54</f>
        <v>15059.87886808429</v>
      </c>
      <c r="K57" s="45">
        <f t="shared" si="36"/>
        <v>16382.548011923936</v>
      </c>
      <c r="L57" s="45">
        <f t="shared" si="36"/>
        <v>17824.374056959856</v>
      </c>
      <c r="M57" s="45">
        <f t="shared" si="36"/>
        <v>19393.47999500844</v>
      </c>
      <c r="N57" s="45">
        <f t="shared" si="36"/>
        <v>21103.00396738201</v>
      </c>
      <c r="O57" s="874">
        <f t="shared" si="36"/>
        <v>22965.30951924565</v>
      </c>
    </row>
    <row r="58" spans="1:15" ht="15">
      <c r="A58" s="43" t="s">
        <v>69</v>
      </c>
      <c r="B58" s="270">
        <f>B57/(ECO!L$66*1000)</f>
        <v>0</v>
      </c>
      <c r="C58" s="271">
        <f>C57/(ECO!M$66*1000)</f>
        <v>0</v>
      </c>
      <c r="D58" s="271">
        <f>D57/(ECO!N$66*1000)</f>
        <v>0.00013597903880097886</v>
      </c>
      <c r="E58" s="271">
        <f>E57/(ECO!O$66*1000)</f>
        <v>0.00026871735715310865</v>
      </c>
      <c r="F58" s="271">
        <f>F57/(ECO!P$66*1000)</f>
        <v>0.0004019049977147017</v>
      </c>
      <c r="G58" s="271">
        <f>G57/(ECO!Q$66*1000)</f>
        <v>0.0005312843676577783</v>
      </c>
      <c r="H58" s="271">
        <f>H57/(ECO!R$66*1000)</f>
        <v>0.0005454742504366873</v>
      </c>
      <c r="I58" s="271">
        <f>I57/(ECO!S$66*1000)</f>
        <v>0.0005598878450544219</v>
      </c>
      <c r="J58" s="271">
        <f>J57/(ECO!T$66*1000)</f>
        <v>0.0005745996532913216</v>
      </c>
      <c r="K58" s="271">
        <f>K57/(ECO!U$66*1000)</f>
        <v>0.0005896841641626413</v>
      </c>
      <c r="L58" s="271">
        <f>L57/(ECO!V$66*1000)</f>
        <v>0.0006052662219467437</v>
      </c>
      <c r="M58" s="271">
        <f>M57/(ECO!W$66*1000)</f>
        <v>0.0006212723586733704</v>
      </c>
      <c r="N58" s="271">
        <f>N57/(ECO!X$66*1000)</f>
        <v>0.0006377709013585325</v>
      </c>
      <c r="O58" s="968">
        <f>O57/(ECO!Y$66*1000)</f>
        <v>0.0006547671125402472</v>
      </c>
    </row>
    <row r="59" spans="1:15" ht="15">
      <c r="A59" s="969" t="s">
        <v>71</v>
      </c>
      <c r="B59" s="970">
        <f>B57/('GGO (SQ)'!L$24*1000)</f>
        <v>0</v>
      </c>
      <c r="C59" s="964">
        <f>C57/('GGO (SQ)'!M$24*1000)</f>
        <v>0</v>
      </c>
      <c r="D59" s="964">
        <f>D57/('GGO (SQ)'!N$24*1000)</f>
        <v>0.0008669472669628051</v>
      </c>
      <c r="E59" s="964">
        <f>E57/('GGO (SQ)'!O$24*1000)</f>
        <v>0.0017132330131434822</v>
      </c>
      <c r="F59" s="964">
        <f>F57/('GGO (SQ)'!P$24*1000)</f>
        <v>0.0025623834557135052</v>
      </c>
      <c r="G59" s="964">
        <f>G57/('GGO (SQ)'!Q$24*1000)</f>
        <v>0.003387253907531352</v>
      </c>
      <c r="H59" s="964">
        <f>H57/('GGO (SQ)'!R$24*1000)</f>
        <v>0.003477722851878745</v>
      </c>
      <c r="I59" s="964">
        <f>I57/('GGO (SQ)'!S$24*1000)</f>
        <v>0.003569618092285936</v>
      </c>
      <c r="J59" s="964">
        <f>J57/('GGO (SQ)'!T$24*1000)</f>
        <v>0.0036634146219240715</v>
      </c>
      <c r="K59" s="964">
        <f>K57/('GGO (SQ)'!U$24*1000)</f>
        <v>0.003759587352579285</v>
      </c>
      <c r="L59" s="964">
        <f>L57/('GGO (SQ)'!V$24*1000)</f>
        <v>0.003858932240796621</v>
      </c>
      <c r="M59" s="964">
        <f>M57/('GGO (SQ)'!W$24*1000)</f>
        <v>0.003960980884559221</v>
      </c>
      <c r="N59" s="964">
        <f>N57/('GGO (SQ)'!X$24*1000)</f>
        <v>0.00406616890924224</v>
      </c>
      <c r="O59" s="971">
        <f>O57/('GGO (SQ)'!Y$24*1000)</f>
        <v>0.004174529866656246</v>
      </c>
    </row>
    <row r="60" ht="15">
      <c r="B60" s="21"/>
    </row>
    <row r="61" spans="1:16" ht="14.25" customHeight="1">
      <c r="A61" s="1117" t="s">
        <v>523</v>
      </c>
      <c r="B61" s="1118"/>
      <c r="C61" s="1118"/>
      <c r="D61" s="1118"/>
      <c r="E61" s="1118"/>
      <c r="F61" s="1118"/>
      <c r="G61" s="1118"/>
      <c r="H61" s="1118"/>
      <c r="I61" s="1118"/>
      <c r="J61" s="1118"/>
      <c r="K61" s="1118"/>
      <c r="L61" s="1118"/>
      <c r="M61" s="1118"/>
      <c r="N61" s="1118"/>
      <c r="O61" s="1119"/>
      <c r="P61" s="1131" t="s">
        <v>468</v>
      </c>
    </row>
    <row r="62" spans="1:16" ht="14.25" customHeight="1">
      <c r="A62" s="1138" t="s">
        <v>320</v>
      </c>
      <c r="B62" s="1123"/>
      <c r="C62" s="642">
        <v>0.6</v>
      </c>
      <c r="D62" s="1123" t="s">
        <v>319</v>
      </c>
      <c r="E62" s="1123"/>
      <c r="F62" s="1123"/>
      <c r="G62" s="641">
        <v>6</v>
      </c>
      <c r="H62" s="916"/>
      <c r="I62" s="1002"/>
      <c r="J62" s="1002"/>
      <c r="K62" s="1002"/>
      <c r="L62" s="1002"/>
      <c r="M62" s="1002"/>
      <c r="N62" s="1002"/>
      <c r="O62" s="691"/>
      <c r="P62" s="1131"/>
    </row>
    <row r="63" spans="1:16" ht="15">
      <c r="A63" s="30" t="s">
        <v>232</v>
      </c>
      <c r="B63" s="368">
        <f>POP!L$95</f>
        <v>33752.99863443981</v>
      </c>
      <c r="C63" s="369">
        <f>POP!M$95</f>
        <v>34375.5875550936</v>
      </c>
      <c r="D63" s="369">
        <f>POP!N$95</f>
        <v>34989.293439618414</v>
      </c>
      <c r="E63" s="369">
        <f>POP!O$95</f>
        <v>35597.67406255785</v>
      </c>
      <c r="F63" s="369">
        <f>POP!P$95</f>
        <v>36202.37257773892</v>
      </c>
      <c r="G63" s="369">
        <f>POP!Q$95</f>
        <v>36804.86778534744</v>
      </c>
      <c r="H63" s="369">
        <f>POP!R$95</f>
        <v>37405.66882966946</v>
      </c>
      <c r="I63" s="369">
        <f>POP!S$95</f>
        <v>38003.30755481213</v>
      </c>
      <c r="J63" s="369">
        <f>POP!T$95</f>
        <v>38599.368876953566</v>
      </c>
      <c r="K63" s="369">
        <f>POP!U$95</f>
        <v>39189.224151393806</v>
      </c>
      <c r="L63" s="369">
        <f>POP!V$95</f>
        <v>39774.567486724074</v>
      </c>
      <c r="M63" s="369">
        <f>POP!W$95</f>
        <v>40353.38876489049</v>
      </c>
      <c r="N63" s="369">
        <f>POP!X$95</f>
        <v>40925.72424732374</v>
      </c>
      <c r="O63" s="818">
        <f>POP!Y$95</f>
        <v>41492.41488674328</v>
      </c>
      <c r="P63" s="1131"/>
    </row>
    <row r="64" spans="1:16" s="35" customFormat="1" ht="15">
      <c r="A64" s="32" t="s">
        <v>255</v>
      </c>
      <c r="B64" s="368">
        <f>ECO!L$76*20</f>
        <v>7581.799948883431</v>
      </c>
      <c r="C64" s="369">
        <f>ECO!M$76*20</f>
        <v>8081.638306705343</v>
      </c>
      <c r="D64" s="369">
        <f>ECO!N$76*20</f>
        <v>8720.64014457958</v>
      </c>
      <c r="E64" s="369">
        <f>ECO!O$76*20</f>
        <v>9318.369821475935</v>
      </c>
      <c r="F64" s="369">
        <f>ECO!P$76*20</f>
        <v>10042.430045799267</v>
      </c>
      <c r="G64" s="369">
        <f>ECO!Q$76*20</f>
        <v>10752.589217156554</v>
      </c>
      <c r="H64" s="369">
        <f>ECO!R$76*20</f>
        <v>11514.205440228254</v>
      </c>
      <c r="I64" s="369">
        <f>ECO!S$76*20</f>
        <v>12330.55578945467</v>
      </c>
      <c r="J64" s="369">
        <f>ECO!T$76*20</f>
        <v>13206.69142788488</v>
      </c>
      <c r="K64" s="369">
        <f>ECO!U$76*20</f>
        <v>14150.361651222276</v>
      </c>
      <c r="L64" s="369">
        <f>ECO!V$76*20</f>
        <v>15169.161586201133</v>
      </c>
      <c r="M64" s="369">
        <f>ECO!W$76*20</f>
        <v>16267.787505615208</v>
      </c>
      <c r="N64" s="369">
        <f>ECO!X$76*20</f>
        <v>17454.228721141753</v>
      </c>
      <c r="O64" s="818">
        <f>ECO!Y$76*20</f>
        <v>18735.1143033822</v>
      </c>
      <c r="P64" s="1131"/>
    </row>
    <row r="65" spans="1:16" s="35" customFormat="1" ht="15">
      <c r="A65" s="32" t="s">
        <v>234</v>
      </c>
      <c r="B65" s="368">
        <f aca="true" t="shared" si="37" ref="B65:O65">B63*B64*12/1000</f>
        <v>3070901.7998550995</v>
      </c>
      <c r="C65" s="369">
        <f t="shared" si="37"/>
        <v>3333732.7824089746</v>
      </c>
      <c r="D65" s="369">
        <f t="shared" si="37"/>
        <v>3661548.4440001356</v>
      </c>
      <c r="E65" s="369">
        <f t="shared" si="37"/>
        <v>3980547.5003913087</v>
      </c>
      <c r="F65" s="369">
        <f t="shared" si="37"/>
        <v>4362717.529246857</v>
      </c>
      <c r="G65" s="369">
        <f t="shared" si="37"/>
        <v>4748971.493851193</v>
      </c>
      <c r="H65" s="369">
        <f t="shared" si="37"/>
        <v>5168358.666407478</v>
      </c>
      <c r="I65" s="369">
        <f t="shared" si="37"/>
        <v>5623222.847860981</v>
      </c>
      <c r="J65" s="369">
        <f t="shared" si="37"/>
        <v>6117239.448828349</v>
      </c>
      <c r="K65" s="369">
        <f t="shared" si="37"/>
        <v>6654500.334876442</v>
      </c>
      <c r="L65" s="369">
        <f t="shared" si="37"/>
        <v>7240162.094728552</v>
      </c>
      <c r="M65" s="369">
        <f t="shared" si="37"/>
        <v>7877524.242704624</v>
      </c>
      <c r="N65" s="369">
        <f t="shared" si="37"/>
        <v>8571923.419093987</v>
      </c>
      <c r="O65" s="818">
        <f t="shared" si="37"/>
        <v>9328381.627517913</v>
      </c>
      <c r="P65" s="1131"/>
    </row>
    <row r="66" spans="1:16" s="35" customFormat="1" ht="15">
      <c r="A66" s="32" t="s">
        <v>235</v>
      </c>
      <c r="B66" s="372">
        <v>0.1</v>
      </c>
      <c r="C66" s="373">
        <f aca="true" t="shared" si="38" ref="C66:I66">B66</f>
        <v>0.1</v>
      </c>
      <c r="D66" s="373">
        <f t="shared" si="38"/>
        <v>0.1</v>
      </c>
      <c r="E66" s="373">
        <f t="shared" si="38"/>
        <v>0.1</v>
      </c>
      <c r="F66" s="373">
        <f t="shared" si="38"/>
        <v>0.1</v>
      </c>
      <c r="G66" s="373">
        <f t="shared" si="38"/>
        <v>0.1</v>
      </c>
      <c r="H66" s="373">
        <f t="shared" si="38"/>
        <v>0.1</v>
      </c>
      <c r="I66" s="373">
        <f t="shared" si="38"/>
        <v>0.1</v>
      </c>
      <c r="J66" s="373">
        <f aca="true" t="shared" si="39" ref="J66">I66</f>
        <v>0.1</v>
      </c>
      <c r="K66" s="373">
        <f aca="true" t="shared" si="40" ref="K66">J66</f>
        <v>0.1</v>
      </c>
      <c r="L66" s="373">
        <f aca="true" t="shared" si="41" ref="L66">K66</f>
        <v>0.1</v>
      </c>
      <c r="M66" s="373">
        <f aca="true" t="shared" si="42" ref="M66">L66</f>
        <v>0.1</v>
      </c>
      <c r="N66" s="373">
        <f aca="true" t="shared" si="43" ref="N66">M66</f>
        <v>0.1</v>
      </c>
      <c r="O66" s="999">
        <f aca="true" t="shared" si="44" ref="O66">N66</f>
        <v>0.1</v>
      </c>
      <c r="P66" s="1131"/>
    </row>
    <row r="67" spans="1:16" s="35" customFormat="1" ht="15">
      <c r="A67" s="32" t="s">
        <v>233</v>
      </c>
      <c r="B67" s="368">
        <f aca="true" t="shared" si="45" ref="B67:O67">B65*(1-B66)</f>
        <v>2763811.61986959</v>
      </c>
      <c r="C67" s="369">
        <f t="shared" si="45"/>
        <v>3000359.5041680774</v>
      </c>
      <c r="D67" s="369">
        <f t="shared" si="45"/>
        <v>3295393.5996001223</v>
      </c>
      <c r="E67" s="369">
        <f t="shared" si="45"/>
        <v>3582492.750352178</v>
      </c>
      <c r="F67" s="369">
        <f t="shared" si="45"/>
        <v>3926445.7763221716</v>
      </c>
      <c r="G67" s="369">
        <f t="shared" si="45"/>
        <v>4274074.344466074</v>
      </c>
      <c r="H67" s="369">
        <f t="shared" si="45"/>
        <v>4651522.7997667305</v>
      </c>
      <c r="I67" s="369">
        <f t="shared" si="45"/>
        <v>5060900.563074883</v>
      </c>
      <c r="J67" s="369">
        <f t="shared" si="45"/>
        <v>5505515.503945515</v>
      </c>
      <c r="K67" s="369">
        <f t="shared" si="45"/>
        <v>5989050.301388798</v>
      </c>
      <c r="L67" s="369">
        <f t="shared" si="45"/>
        <v>6516145.885255697</v>
      </c>
      <c r="M67" s="369">
        <f t="shared" si="45"/>
        <v>7089771.818434162</v>
      </c>
      <c r="N67" s="369">
        <f t="shared" si="45"/>
        <v>7714731.077184589</v>
      </c>
      <c r="O67" s="818">
        <f t="shared" si="45"/>
        <v>8395543.464766122</v>
      </c>
      <c r="P67" s="1131"/>
    </row>
    <row r="68" spans="1:16" s="35" customFormat="1" ht="15">
      <c r="A68" s="32"/>
      <c r="B68" s="368"/>
      <c r="C68" s="369"/>
      <c r="D68" s="369"/>
      <c r="E68" s="369"/>
      <c r="F68" s="369"/>
      <c r="G68" s="369"/>
      <c r="H68" s="369"/>
      <c r="I68" s="369"/>
      <c r="J68" s="369"/>
      <c r="K68" s="369"/>
      <c r="L68" s="369"/>
      <c r="M68" s="369"/>
      <c r="N68" s="369"/>
      <c r="O68" s="818"/>
      <c r="P68" s="1131"/>
    </row>
    <row r="69" spans="1:16" s="35" customFormat="1" ht="15">
      <c r="A69" s="32" t="s">
        <v>370</v>
      </c>
      <c r="B69" s="368">
        <f>B63*ECO!L42</f>
        <v>1977.925719978173</v>
      </c>
      <c r="C69" s="369">
        <f>C63*ECO!M42</f>
        <v>1538.6981747672012</v>
      </c>
      <c r="D69" s="369">
        <f>D63*ECO!N42</f>
        <v>1566.1684870301924</v>
      </c>
      <c r="E69" s="369">
        <f>E63*ECO!O42</f>
        <v>1593.400433322902</v>
      </c>
      <c r="F69" s="369">
        <f>F63*ECO!P42</f>
        <v>1620.4675634512907</v>
      </c>
      <c r="G69" s="369">
        <f>G63*ECO!Q42</f>
        <v>1647.436070528222</v>
      </c>
      <c r="H69" s="369">
        <f>H63*ECO!R42</f>
        <v>1674.3287445462274</v>
      </c>
      <c r="I69" s="369">
        <f>I63*ECO!S42</f>
        <v>1701.0798688455109</v>
      </c>
      <c r="J69" s="369">
        <f>J63*ECO!T42</f>
        <v>1727.7603864354555</v>
      </c>
      <c r="K69" s="369">
        <f>K63*ECO!U42</f>
        <v>1754.1631128675022</v>
      </c>
      <c r="L69" s="369">
        <f>L63*ECO!V42</f>
        <v>1780.3638787523423</v>
      </c>
      <c r="M69" s="369">
        <f>M63*ECO!W42</f>
        <v>1806.272708464814</v>
      </c>
      <c r="N69" s="369">
        <f>N63*ECO!X42</f>
        <v>1831.8912251160025</v>
      </c>
      <c r="O69" s="818">
        <f>O63*ECO!Y42</f>
        <v>1857.2570708963838</v>
      </c>
      <c r="P69" s="1131"/>
    </row>
    <row r="70" spans="1:16" s="35" customFormat="1" ht="15">
      <c r="A70" s="32" t="s">
        <v>74</v>
      </c>
      <c r="B70" s="370">
        <v>0</v>
      </c>
      <c r="C70" s="371">
        <v>0</v>
      </c>
      <c r="D70" s="371">
        <v>0.25</v>
      </c>
      <c r="E70" s="371">
        <v>0.5</v>
      </c>
      <c r="F70" s="371">
        <v>0.75</v>
      </c>
      <c r="G70" s="371">
        <v>1</v>
      </c>
      <c r="H70" s="371">
        <v>1</v>
      </c>
      <c r="I70" s="371">
        <v>1</v>
      </c>
      <c r="J70" s="371">
        <v>1</v>
      </c>
      <c r="K70" s="371">
        <v>1</v>
      </c>
      <c r="L70" s="371">
        <v>1</v>
      </c>
      <c r="M70" s="371">
        <v>1</v>
      </c>
      <c r="N70" s="371">
        <v>1</v>
      </c>
      <c r="O70" s="870">
        <v>1</v>
      </c>
      <c r="P70" s="1131"/>
    </row>
    <row r="71" spans="1:16" s="35" customFormat="1" ht="15">
      <c r="A71" s="32" t="s">
        <v>70</v>
      </c>
      <c r="B71" s="368">
        <f>B69*B70</f>
        <v>0</v>
      </c>
      <c r="C71" s="369">
        <f aca="true" t="shared" si="46" ref="C71:O71">C69*C70</f>
        <v>0</v>
      </c>
      <c r="D71" s="369">
        <f t="shared" si="46"/>
        <v>391.5421217575481</v>
      </c>
      <c r="E71" s="369">
        <f t="shared" si="46"/>
        <v>796.700216661451</v>
      </c>
      <c r="F71" s="369">
        <f t="shared" si="46"/>
        <v>1215.3506725884681</v>
      </c>
      <c r="G71" s="369">
        <f t="shared" si="46"/>
        <v>1647.436070528222</v>
      </c>
      <c r="H71" s="369">
        <f t="shared" si="46"/>
        <v>1674.3287445462274</v>
      </c>
      <c r="I71" s="369">
        <f t="shared" si="46"/>
        <v>1701.0798688455109</v>
      </c>
      <c r="J71" s="369">
        <f t="shared" si="46"/>
        <v>1727.7603864354555</v>
      </c>
      <c r="K71" s="369">
        <f t="shared" si="46"/>
        <v>1754.1631128675022</v>
      </c>
      <c r="L71" s="369">
        <f t="shared" si="46"/>
        <v>1780.3638787523423</v>
      </c>
      <c r="M71" s="369">
        <f t="shared" si="46"/>
        <v>1806.272708464814</v>
      </c>
      <c r="N71" s="369">
        <f t="shared" si="46"/>
        <v>1831.8912251160025</v>
      </c>
      <c r="O71" s="818">
        <f t="shared" si="46"/>
        <v>1857.2570708963838</v>
      </c>
      <c r="P71" s="1131"/>
    </row>
    <row r="72" spans="1:16" s="35" customFormat="1" ht="15">
      <c r="A72" s="32"/>
      <c r="B72" s="368"/>
      <c r="C72" s="369"/>
      <c r="D72" s="369"/>
      <c r="E72" s="369"/>
      <c r="F72" s="369"/>
      <c r="G72" s="369"/>
      <c r="H72" s="369"/>
      <c r="I72" s="369"/>
      <c r="J72" s="369"/>
      <c r="K72" s="369"/>
      <c r="L72" s="369"/>
      <c r="M72" s="369"/>
      <c r="N72" s="369"/>
      <c r="O72" s="818"/>
      <c r="P72" s="1131"/>
    </row>
    <row r="73" spans="1:16" s="35" customFormat="1" ht="15">
      <c r="A73" s="32" t="s">
        <v>240</v>
      </c>
      <c r="B73" s="372">
        <f>$C$62</f>
        <v>0.6</v>
      </c>
      <c r="C73" s="373">
        <f aca="true" t="shared" si="47" ref="C73:O73">$C$62</f>
        <v>0.6</v>
      </c>
      <c r="D73" s="373">
        <f t="shared" si="47"/>
        <v>0.6</v>
      </c>
      <c r="E73" s="373">
        <f t="shared" si="47"/>
        <v>0.6</v>
      </c>
      <c r="F73" s="373">
        <f t="shared" si="47"/>
        <v>0.6</v>
      </c>
      <c r="G73" s="373">
        <f t="shared" si="47"/>
        <v>0.6</v>
      </c>
      <c r="H73" s="373">
        <f t="shared" si="47"/>
        <v>0.6</v>
      </c>
      <c r="I73" s="373">
        <f t="shared" si="47"/>
        <v>0.6</v>
      </c>
      <c r="J73" s="373">
        <f t="shared" si="47"/>
        <v>0.6</v>
      </c>
      <c r="K73" s="373">
        <f t="shared" si="47"/>
        <v>0.6</v>
      </c>
      <c r="L73" s="373">
        <f t="shared" si="47"/>
        <v>0.6</v>
      </c>
      <c r="M73" s="373">
        <f t="shared" si="47"/>
        <v>0.6</v>
      </c>
      <c r="N73" s="373">
        <f t="shared" si="47"/>
        <v>0.6</v>
      </c>
      <c r="O73" s="999">
        <f t="shared" si="47"/>
        <v>0.6</v>
      </c>
      <c r="P73" s="1131"/>
    </row>
    <row r="74" spans="1:16" s="35" customFormat="1" ht="15">
      <c r="A74" s="32" t="s">
        <v>236</v>
      </c>
      <c r="B74" s="368">
        <f aca="true" t="shared" si="48" ref="B74:I74">$G$62</f>
        <v>6</v>
      </c>
      <c r="C74" s="369">
        <f t="shared" si="48"/>
        <v>6</v>
      </c>
      <c r="D74" s="369">
        <f t="shared" si="48"/>
        <v>6</v>
      </c>
      <c r="E74" s="369">
        <f t="shared" si="48"/>
        <v>6</v>
      </c>
      <c r="F74" s="369">
        <f t="shared" si="48"/>
        <v>6</v>
      </c>
      <c r="G74" s="369">
        <f t="shared" si="48"/>
        <v>6</v>
      </c>
      <c r="H74" s="369">
        <f t="shared" si="48"/>
        <v>6</v>
      </c>
      <c r="I74" s="369">
        <f t="shared" si="48"/>
        <v>6</v>
      </c>
      <c r="J74" s="369">
        <f aca="true" t="shared" si="49" ref="J74:O74">$G$62</f>
        <v>6</v>
      </c>
      <c r="K74" s="369">
        <f t="shared" si="49"/>
        <v>6</v>
      </c>
      <c r="L74" s="369">
        <f t="shared" si="49"/>
        <v>6</v>
      </c>
      <c r="M74" s="369">
        <f t="shared" si="49"/>
        <v>6</v>
      </c>
      <c r="N74" s="369">
        <f t="shared" si="49"/>
        <v>6</v>
      </c>
      <c r="O74" s="818">
        <f t="shared" si="49"/>
        <v>6</v>
      </c>
      <c r="P74" s="1131"/>
    </row>
    <row r="75" spans="1:16" s="35" customFormat="1" ht="15">
      <c r="A75" s="32" t="s">
        <v>256</v>
      </c>
      <c r="B75" s="368">
        <f aca="true" t="shared" si="50" ref="B75:O75">B64*B73*B74</f>
        <v>27294.479815980354</v>
      </c>
      <c r="C75" s="369">
        <f t="shared" si="50"/>
        <v>29093.897904139238</v>
      </c>
      <c r="D75" s="369">
        <f t="shared" si="50"/>
        <v>31394.304520486483</v>
      </c>
      <c r="E75" s="369">
        <f t="shared" si="50"/>
        <v>33546.13135731337</v>
      </c>
      <c r="F75" s="369">
        <f t="shared" si="50"/>
        <v>36152.74816487736</v>
      </c>
      <c r="G75" s="369">
        <f t="shared" si="50"/>
        <v>38709.3211817636</v>
      </c>
      <c r="H75" s="369">
        <f t="shared" si="50"/>
        <v>41451.139584821714</v>
      </c>
      <c r="I75" s="369">
        <f t="shared" si="50"/>
        <v>44390.00084203681</v>
      </c>
      <c r="J75" s="369">
        <f t="shared" si="50"/>
        <v>47544.089140385564</v>
      </c>
      <c r="K75" s="369">
        <f t="shared" si="50"/>
        <v>50941.301944400184</v>
      </c>
      <c r="L75" s="369">
        <f t="shared" si="50"/>
        <v>54608.98171032408</v>
      </c>
      <c r="M75" s="369">
        <f t="shared" si="50"/>
        <v>58564.03502021474</v>
      </c>
      <c r="N75" s="369">
        <f t="shared" si="50"/>
        <v>62835.22339611031</v>
      </c>
      <c r="O75" s="818">
        <f t="shared" si="50"/>
        <v>67446.41149217592</v>
      </c>
      <c r="P75" s="1131"/>
    </row>
    <row r="76" spans="1:16" s="35" customFormat="1" ht="15">
      <c r="A76" s="32" t="s">
        <v>239</v>
      </c>
      <c r="B76" s="368">
        <f aca="true" t="shared" si="51" ref="B76:O76">B71*B75/1000</f>
        <v>0</v>
      </c>
      <c r="C76" s="369">
        <f t="shared" si="51"/>
        <v>0</v>
      </c>
      <c r="D76" s="369">
        <f t="shared" si="51"/>
        <v>12292.19260305386</v>
      </c>
      <c r="E76" s="369">
        <f t="shared" si="51"/>
        <v>26726.210120525055</v>
      </c>
      <c r="F76" s="369">
        <f t="shared" si="51"/>
        <v>43938.26679810521</v>
      </c>
      <c r="G76" s="369">
        <f t="shared" si="51"/>
        <v>63771.13198049949</v>
      </c>
      <c r="H76" s="369">
        <f t="shared" si="51"/>
        <v>69402.83450106496</v>
      </c>
      <c r="I76" s="369">
        <f t="shared" si="51"/>
        <v>75510.93681042409</v>
      </c>
      <c r="J76" s="369">
        <f t="shared" si="51"/>
        <v>82144.79382591431</v>
      </c>
      <c r="K76" s="369">
        <f t="shared" si="51"/>
        <v>89359.35279231236</v>
      </c>
      <c r="L76" s="369">
        <f t="shared" si="51"/>
        <v>97223.8584925083</v>
      </c>
      <c r="M76" s="369">
        <f t="shared" si="51"/>
        <v>105782.6181545915</v>
      </c>
      <c r="N76" s="369">
        <f t="shared" si="51"/>
        <v>115107.29436753823</v>
      </c>
      <c r="O76" s="818">
        <f t="shared" si="51"/>
        <v>125265.32465043085</v>
      </c>
      <c r="P76" s="1131"/>
    </row>
    <row r="77" spans="1:16" s="35" customFormat="1" ht="15">
      <c r="A77" s="32"/>
      <c r="B77" s="368"/>
      <c r="C77" s="369"/>
      <c r="D77" s="369"/>
      <c r="E77" s="369"/>
      <c r="F77" s="369"/>
      <c r="G77" s="369"/>
      <c r="H77" s="369"/>
      <c r="I77" s="369"/>
      <c r="J77" s="369"/>
      <c r="K77" s="369"/>
      <c r="L77" s="369"/>
      <c r="M77" s="369"/>
      <c r="N77" s="369"/>
      <c r="O77" s="818"/>
      <c r="P77" s="1131"/>
    </row>
    <row r="78" spans="1:16" s="35" customFormat="1" ht="15">
      <c r="A78" s="32" t="s">
        <v>237</v>
      </c>
      <c r="B78" s="405">
        <f>10%*B76</f>
        <v>0</v>
      </c>
      <c r="C78" s="369">
        <f>10%*C76</f>
        <v>0</v>
      </c>
      <c r="D78" s="369">
        <f aca="true" t="shared" si="52" ref="D78:O78">10%*D76</f>
        <v>1229.2192603053861</v>
      </c>
      <c r="E78" s="369">
        <f t="shared" si="52"/>
        <v>2672.6210120525056</v>
      </c>
      <c r="F78" s="369">
        <f t="shared" si="52"/>
        <v>4393.826679810521</v>
      </c>
      <c r="G78" s="369">
        <f t="shared" si="52"/>
        <v>6377.1131980499495</v>
      </c>
      <c r="H78" s="369">
        <f t="shared" si="52"/>
        <v>6940.283450106497</v>
      </c>
      <c r="I78" s="369">
        <f t="shared" si="52"/>
        <v>7551.093681042409</v>
      </c>
      <c r="J78" s="369">
        <f t="shared" si="52"/>
        <v>8214.479382591431</v>
      </c>
      <c r="K78" s="369">
        <f t="shared" si="52"/>
        <v>8935.935279231237</v>
      </c>
      <c r="L78" s="369">
        <f t="shared" si="52"/>
        <v>9722.38584925083</v>
      </c>
      <c r="M78" s="369">
        <f t="shared" si="52"/>
        <v>10578.261815459151</v>
      </c>
      <c r="N78" s="369">
        <f t="shared" si="52"/>
        <v>11510.729436753823</v>
      </c>
      <c r="O78" s="818">
        <f t="shared" si="52"/>
        <v>12526.532465043085</v>
      </c>
      <c r="P78" s="1131"/>
    </row>
    <row r="79" spans="1:16" s="35" customFormat="1" ht="15">
      <c r="A79" s="32" t="s">
        <v>257</v>
      </c>
      <c r="B79" s="368">
        <f aca="true" t="shared" si="53" ref="B79:O79">B76+B78</f>
        <v>0</v>
      </c>
      <c r="C79" s="369">
        <f t="shared" si="53"/>
        <v>0</v>
      </c>
      <c r="D79" s="369">
        <f t="shared" si="53"/>
        <v>13521.411863359246</v>
      </c>
      <c r="E79" s="369">
        <f t="shared" si="53"/>
        <v>29398.83113257756</v>
      </c>
      <c r="F79" s="369">
        <f t="shared" si="53"/>
        <v>48332.093477915725</v>
      </c>
      <c r="G79" s="369">
        <f t="shared" si="53"/>
        <v>70148.24517854945</v>
      </c>
      <c r="H79" s="369">
        <f t="shared" si="53"/>
        <v>76343.11795117146</v>
      </c>
      <c r="I79" s="369">
        <f t="shared" si="53"/>
        <v>83062.03049146649</v>
      </c>
      <c r="J79" s="369">
        <f t="shared" si="53"/>
        <v>90359.27320850574</v>
      </c>
      <c r="K79" s="369">
        <f t="shared" si="53"/>
        <v>98295.2880715436</v>
      </c>
      <c r="L79" s="369">
        <f t="shared" si="53"/>
        <v>106946.24434175913</v>
      </c>
      <c r="M79" s="369">
        <f t="shared" si="53"/>
        <v>116360.87997005065</v>
      </c>
      <c r="N79" s="369">
        <f t="shared" si="53"/>
        <v>126618.02380429205</v>
      </c>
      <c r="O79" s="818">
        <f t="shared" si="53"/>
        <v>137791.85711547395</v>
      </c>
      <c r="P79" s="1131"/>
    </row>
    <row r="80" spans="1:16" s="35" customFormat="1" ht="15">
      <c r="A80" s="32" t="s">
        <v>238</v>
      </c>
      <c r="B80" s="374">
        <f>B79/B67</f>
        <v>0</v>
      </c>
      <c r="C80" s="375">
        <f aca="true" t="shared" si="54" ref="C80:O80">C79/C67</f>
        <v>0</v>
      </c>
      <c r="D80" s="375">
        <f t="shared" si="54"/>
        <v>0.004103124999999998</v>
      </c>
      <c r="E80" s="375">
        <f t="shared" si="54"/>
        <v>0.00820625</v>
      </c>
      <c r="F80" s="375">
        <f t="shared" si="54"/>
        <v>0.012309375</v>
      </c>
      <c r="G80" s="375">
        <f t="shared" si="54"/>
        <v>0.0164125</v>
      </c>
      <c r="H80" s="375">
        <f t="shared" si="54"/>
        <v>0.0164125</v>
      </c>
      <c r="I80" s="375">
        <f t="shared" si="54"/>
        <v>0.016412499999999993</v>
      </c>
      <c r="J80" s="375">
        <f t="shared" si="54"/>
        <v>0.016412499999999997</v>
      </c>
      <c r="K80" s="375">
        <f t="shared" si="54"/>
        <v>0.016412499999999993</v>
      </c>
      <c r="L80" s="375">
        <f t="shared" si="54"/>
        <v>0.0164125</v>
      </c>
      <c r="M80" s="375">
        <f t="shared" si="54"/>
        <v>0.016412499999999997</v>
      </c>
      <c r="N80" s="375">
        <f t="shared" si="54"/>
        <v>0.0164125</v>
      </c>
      <c r="O80" s="1000">
        <f t="shared" si="54"/>
        <v>0.016412499999999997</v>
      </c>
      <c r="P80" s="1131"/>
    </row>
    <row r="81" spans="1:16" s="35" customFormat="1" ht="15">
      <c r="A81" s="32"/>
      <c r="B81" s="204"/>
      <c r="C81" s="205"/>
      <c r="D81" s="205"/>
      <c r="E81" s="205"/>
      <c r="F81" s="205"/>
      <c r="G81" s="205"/>
      <c r="H81" s="205"/>
      <c r="I81" s="205"/>
      <c r="J81" s="205"/>
      <c r="K81" s="205"/>
      <c r="L81" s="205"/>
      <c r="M81" s="205"/>
      <c r="N81" s="205"/>
      <c r="O81" s="1001"/>
      <c r="P81" s="1131"/>
    </row>
    <row r="82" spans="1:15" ht="15">
      <c r="A82" s="43" t="s">
        <v>88</v>
      </c>
      <c r="B82" s="44">
        <f aca="true" t="shared" si="55" ref="B82:O82">50%*B79</f>
        <v>0</v>
      </c>
      <c r="C82" s="45">
        <f t="shared" si="55"/>
        <v>0</v>
      </c>
      <c r="D82" s="45">
        <f t="shared" si="55"/>
        <v>6760.705931679623</v>
      </c>
      <c r="E82" s="45">
        <f t="shared" si="55"/>
        <v>14699.41556628878</v>
      </c>
      <c r="F82" s="45">
        <f t="shared" si="55"/>
        <v>24166.046738957863</v>
      </c>
      <c r="G82" s="45">
        <f t="shared" si="55"/>
        <v>35074.122589274724</v>
      </c>
      <c r="H82" s="45">
        <f t="shared" si="55"/>
        <v>38171.55897558573</v>
      </c>
      <c r="I82" s="45">
        <f t="shared" si="55"/>
        <v>41531.015245733244</v>
      </c>
      <c r="J82" s="45">
        <f t="shared" si="55"/>
        <v>45179.63660425287</v>
      </c>
      <c r="K82" s="45">
        <f t="shared" si="55"/>
        <v>49147.6440357718</v>
      </c>
      <c r="L82" s="45">
        <f t="shared" si="55"/>
        <v>53473.122170879564</v>
      </c>
      <c r="M82" s="45">
        <f t="shared" si="55"/>
        <v>58180.439985025325</v>
      </c>
      <c r="N82" s="45">
        <f t="shared" si="55"/>
        <v>63309.01190214603</v>
      </c>
      <c r="O82" s="874">
        <f t="shared" si="55"/>
        <v>68895.92855773697</v>
      </c>
    </row>
    <row r="83" spans="1:15" ht="15">
      <c r="A83" s="43" t="s">
        <v>69</v>
      </c>
      <c r="B83" s="270">
        <f>B82/(ECO!L$66*1000)</f>
        <v>0</v>
      </c>
      <c r="C83" s="271">
        <f>C82/(ECO!M$66*1000)</f>
        <v>0</v>
      </c>
      <c r="D83" s="271">
        <f>D82/(ECO!N$66*1000)</f>
        <v>0.0004079371164029365</v>
      </c>
      <c r="E83" s="271">
        <f>E82/(ECO!O$66*1000)</f>
        <v>0.0008061520714593261</v>
      </c>
      <c r="F83" s="271">
        <f>F82/(ECO!P$66*1000)</f>
        <v>0.0012057149931441052</v>
      </c>
      <c r="G83" s="271">
        <f>G82/(ECO!Q$66*1000)</f>
        <v>0.0015938531029733353</v>
      </c>
      <c r="H83" s="271">
        <f>H82/(ECO!R$66*1000)</f>
        <v>0.001636422751310062</v>
      </c>
      <c r="I83" s="271">
        <f>I82/(ECO!S$66*1000)</f>
        <v>0.0016796635351632651</v>
      </c>
      <c r="J83" s="271">
        <f>J82/(ECO!T$66*1000)</f>
        <v>0.0017237989598739647</v>
      </c>
      <c r="K83" s="271">
        <f>K82/(ECO!U$66*1000)</f>
        <v>0.0017690524924879236</v>
      </c>
      <c r="L83" s="271">
        <f>L82/(ECO!V$66*1000)</f>
        <v>0.001815798665840231</v>
      </c>
      <c r="M83" s="271">
        <f>M82/(ECO!W$66*1000)</f>
        <v>0.001863817076020111</v>
      </c>
      <c r="N83" s="271">
        <f>N82/(ECO!X$66*1000)</f>
        <v>0.0019133127040755974</v>
      </c>
      <c r="O83" s="968">
        <f>O82/(ECO!Y$66*1000)</f>
        <v>0.0019643013376207425</v>
      </c>
    </row>
    <row r="84" spans="1:15" ht="15">
      <c r="A84" s="969" t="s">
        <v>71</v>
      </c>
      <c r="B84" s="970">
        <f>B82/('GGO (SQ)'!L$24*1000)</f>
        <v>0</v>
      </c>
      <c r="C84" s="964">
        <f>C82/('GGO (SQ)'!M$24*1000)</f>
        <v>0</v>
      </c>
      <c r="D84" s="964">
        <f>D82/('GGO (SQ)'!N$24*1000)</f>
        <v>0.002600841800888415</v>
      </c>
      <c r="E84" s="964">
        <f>E82/('GGO (SQ)'!O$24*1000)</f>
        <v>0.005139699039430447</v>
      </c>
      <c r="F84" s="964">
        <f>F82/('GGO (SQ)'!P$24*1000)</f>
        <v>0.007687150367140516</v>
      </c>
      <c r="G84" s="964">
        <f>G82/('GGO (SQ)'!Q$24*1000)</f>
        <v>0.010161761722594058</v>
      </c>
      <c r="H84" s="964">
        <f>H82/('GGO (SQ)'!R$24*1000)</f>
        <v>0.010433168555636233</v>
      </c>
      <c r="I84" s="964">
        <f>I82/('GGO (SQ)'!S$24*1000)</f>
        <v>0.010708854276857806</v>
      </c>
      <c r="J84" s="964">
        <f>J82/('GGO (SQ)'!T$24*1000)</f>
        <v>0.010990243865772213</v>
      </c>
      <c r="K84" s="964">
        <f>K82/('GGO (SQ)'!U$24*1000)</f>
        <v>0.011278762057737854</v>
      </c>
      <c r="L84" s="964">
        <f>L82/('GGO (SQ)'!V$24*1000)</f>
        <v>0.011576796722389864</v>
      </c>
      <c r="M84" s="964">
        <f>M82/('GGO (SQ)'!W$24*1000)</f>
        <v>0.011882942653677663</v>
      </c>
      <c r="N84" s="964">
        <f>N82/('GGO (SQ)'!X$24*1000)</f>
        <v>0.012198506727726719</v>
      </c>
      <c r="O84" s="971">
        <f>O82/('GGO (SQ)'!Y$24*1000)</f>
        <v>0.01252358959996874</v>
      </c>
    </row>
    <row r="85" spans="1:23" s="869" customFormat="1" ht="15">
      <c r="A85" s="1003"/>
      <c r="B85" s="1004"/>
      <c r="C85" s="1139"/>
      <c r="D85" s="1139"/>
      <c r="E85" s="1139"/>
      <c r="F85" s="1139"/>
      <c r="G85" s="1139"/>
      <c r="H85" s="1139"/>
      <c r="I85" s="1139"/>
      <c r="J85" s="1139"/>
      <c r="K85" s="1139"/>
      <c r="L85" s="1139"/>
      <c r="M85" s="1139"/>
      <c r="N85" s="1139"/>
      <c r="O85" s="1139"/>
      <c r="P85" s="1139"/>
      <c r="Q85" s="1139"/>
      <c r="R85" s="868"/>
      <c r="S85" s="868"/>
      <c r="T85" s="868"/>
      <c r="U85" s="868"/>
      <c r="V85" s="868"/>
      <c r="W85" s="868"/>
    </row>
    <row r="86" spans="1:16" ht="15">
      <c r="A86" s="1129" t="s">
        <v>371</v>
      </c>
      <c r="B86" s="1130"/>
      <c r="C86" s="1130"/>
      <c r="D86" s="1130"/>
      <c r="E86" s="1130"/>
      <c r="F86" s="1130"/>
      <c r="G86" s="1130"/>
      <c r="H86" s="1130"/>
      <c r="I86" s="1130"/>
      <c r="J86" s="1130"/>
      <c r="K86" s="1130"/>
      <c r="L86" s="1130"/>
      <c r="M86" s="1130"/>
      <c r="N86" s="1130"/>
      <c r="O86" s="1130"/>
      <c r="P86" s="31"/>
    </row>
    <row r="87" spans="1:16" ht="15">
      <c r="A87" s="1117" t="s">
        <v>524</v>
      </c>
      <c r="B87" s="1118"/>
      <c r="C87" s="1118"/>
      <c r="D87" s="1118"/>
      <c r="E87" s="1118"/>
      <c r="F87" s="1118"/>
      <c r="G87" s="1118"/>
      <c r="H87" s="1118"/>
      <c r="I87" s="1118"/>
      <c r="J87" s="1118"/>
      <c r="K87" s="1118"/>
      <c r="L87" s="1118"/>
      <c r="M87" s="1118"/>
      <c r="N87" s="1118"/>
      <c r="O87" s="1119"/>
      <c r="P87" s="643"/>
    </row>
    <row r="88" spans="1:16" ht="15">
      <c r="A88" s="32" t="s">
        <v>516</v>
      </c>
      <c r="B88" s="263">
        <f>ECO!L49</f>
        <v>5829.08519623654</v>
      </c>
      <c r="C88" s="31">
        <f>ECO!M49</f>
        <v>5573.919700672438</v>
      </c>
      <c r="D88" s="31">
        <f>ECO!N49</f>
        <v>5304.960874409129</v>
      </c>
      <c r="E88" s="31">
        <f>ECO!O49</f>
        <v>5031.257653871039</v>
      </c>
      <c r="F88" s="31">
        <f>ECO!P49</f>
        <v>4755.191824689869</v>
      </c>
      <c r="G88" s="31">
        <f>ECO!Q49</f>
        <v>4477.551137930303</v>
      </c>
      <c r="H88" s="31">
        <f>ECO!R49</f>
        <v>4198.359962588628</v>
      </c>
      <c r="I88" s="28">
        <f>ECO!S49</f>
        <v>3918.222720027358</v>
      </c>
      <c r="J88" s="28">
        <f>ECO!T49</f>
        <v>3637.2368309230974</v>
      </c>
      <c r="K88" s="28">
        <f>ECO!U49</f>
        <v>3355.0989398374372</v>
      </c>
      <c r="L88" s="28">
        <f>ECO!V49</f>
        <v>3072.091224016482</v>
      </c>
      <c r="M88" s="28">
        <f>ECO!W49</f>
        <v>2789.3740067522613</v>
      </c>
      <c r="N88" s="28">
        <f>ECO!X49</f>
        <v>2507.5208008126738</v>
      </c>
      <c r="O88" s="29">
        <f>ECO!Y49</f>
        <v>2227.4929408442877</v>
      </c>
      <c r="P88" s="1113"/>
    </row>
    <row r="89" spans="1:16" s="35" customFormat="1" ht="15">
      <c r="A89" s="32" t="s">
        <v>74</v>
      </c>
      <c r="B89" s="266">
        <v>0</v>
      </c>
      <c r="C89" s="267">
        <v>0</v>
      </c>
      <c r="D89" s="267">
        <v>0.25</v>
      </c>
      <c r="E89" s="267">
        <v>0.5</v>
      </c>
      <c r="F89" s="267">
        <v>0.75</v>
      </c>
      <c r="G89" s="267">
        <v>1</v>
      </c>
      <c r="H89" s="267">
        <v>1</v>
      </c>
      <c r="I89" s="267">
        <v>1</v>
      </c>
      <c r="J89" s="267">
        <v>1</v>
      </c>
      <c r="K89" s="267">
        <v>1</v>
      </c>
      <c r="L89" s="267">
        <v>1</v>
      </c>
      <c r="M89" s="267">
        <v>1</v>
      </c>
      <c r="N89" s="267">
        <v>1</v>
      </c>
      <c r="O89" s="967">
        <v>1</v>
      </c>
      <c r="P89" s="1113"/>
    </row>
    <row r="90" spans="1:16" s="35" customFormat="1" ht="15">
      <c r="A90" s="32" t="s">
        <v>70</v>
      </c>
      <c r="B90" s="263">
        <f aca="true" t="shared" si="56" ref="B90:O90">B88*B89</f>
        <v>0</v>
      </c>
      <c r="C90" s="31">
        <f t="shared" si="56"/>
        <v>0</v>
      </c>
      <c r="D90" s="31">
        <f t="shared" si="56"/>
        <v>1326.2402186022823</v>
      </c>
      <c r="E90" s="31">
        <f t="shared" si="56"/>
        <v>2515.6288269355196</v>
      </c>
      <c r="F90" s="31">
        <f t="shared" si="56"/>
        <v>3566.3938685174016</v>
      </c>
      <c r="G90" s="31">
        <f t="shared" si="56"/>
        <v>4477.551137930303</v>
      </c>
      <c r="H90" s="31">
        <f t="shared" si="56"/>
        <v>4198.359962588628</v>
      </c>
      <c r="I90" s="31">
        <f t="shared" si="56"/>
        <v>3918.222720027358</v>
      </c>
      <c r="J90" s="31">
        <f t="shared" si="56"/>
        <v>3637.2368309230974</v>
      </c>
      <c r="K90" s="31">
        <f t="shared" si="56"/>
        <v>3355.0989398374372</v>
      </c>
      <c r="L90" s="31">
        <f t="shared" si="56"/>
        <v>3072.091224016482</v>
      </c>
      <c r="M90" s="31">
        <f t="shared" si="56"/>
        <v>2789.3740067522613</v>
      </c>
      <c r="N90" s="31">
        <f t="shared" si="56"/>
        <v>2507.5208008126738</v>
      </c>
      <c r="O90" s="900">
        <f t="shared" si="56"/>
        <v>2227.4929408442877</v>
      </c>
      <c r="P90" s="1113"/>
    </row>
    <row r="91" spans="1:16" s="35" customFormat="1" ht="15">
      <c r="A91" s="32"/>
      <c r="B91" s="264"/>
      <c r="C91" s="36"/>
      <c r="D91" s="36"/>
      <c r="E91" s="36"/>
      <c r="F91" s="36"/>
      <c r="G91" s="36"/>
      <c r="H91" s="36"/>
      <c r="I91" s="36"/>
      <c r="J91" s="36"/>
      <c r="K91" s="36"/>
      <c r="L91" s="36"/>
      <c r="M91" s="36"/>
      <c r="N91" s="36"/>
      <c r="O91" s="1005"/>
      <c r="P91" s="1113"/>
    </row>
    <row r="92" spans="1:16" s="35" customFormat="1" ht="15">
      <c r="A92" s="32" t="s">
        <v>173</v>
      </c>
      <c r="B92" s="263">
        <f>11%*ECO!L84</f>
        <v>4476.840780521162</v>
      </c>
      <c r="C92" s="31">
        <f>11%*ECO!M84</f>
        <v>4691.729137986177</v>
      </c>
      <c r="D92" s="31">
        <f>11%*ECO!N84</f>
        <v>4916.932136609515</v>
      </c>
      <c r="E92" s="31">
        <f>11%*ECO!O84</f>
        <v>5152.944879166771</v>
      </c>
      <c r="F92" s="31">
        <f>11%*ECO!P84</f>
        <v>5400.286233366776</v>
      </c>
      <c r="G92" s="31">
        <f>11%*ECO!Q84</f>
        <v>5659.499972568382</v>
      </c>
      <c r="H92" s="31">
        <f>11%*ECO!R84</f>
        <v>5931.155971251665</v>
      </c>
      <c r="I92" s="31">
        <f>11%*ECO!S84</f>
        <v>6215.851457871745</v>
      </c>
      <c r="J92" s="31">
        <f>11%*ECO!T84</f>
        <v>6514.212327849588</v>
      </c>
      <c r="K92" s="31">
        <f>11%*ECO!U84</f>
        <v>6826.894519586369</v>
      </c>
      <c r="L92" s="31">
        <f>11%*ECO!V84</f>
        <v>7154.5854565265145</v>
      </c>
      <c r="M92" s="31">
        <f>11%*ECO!W84</f>
        <v>7498.005558439788</v>
      </c>
      <c r="N92" s="31">
        <f>11%*ECO!X84</f>
        <v>7857.9098252448985</v>
      </c>
      <c r="O92" s="900">
        <f>11%*ECO!Y84</f>
        <v>8235.089496856654</v>
      </c>
      <c r="P92" s="1113"/>
    </row>
    <row r="93" spans="1:16" s="35" customFormat="1" ht="15">
      <c r="A93" s="32" t="s">
        <v>390</v>
      </c>
      <c r="B93" s="263">
        <f>B92*30%</f>
        <v>1343.0522341563485</v>
      </c>
      <c r="C93" s="31">
        <f aca="true" t="shared" si="57" ref="C93:O93">C92*30%</f>
        <v>1407.518741395853</v>
      </c>
      <c r="D93" s="31">
        <f t="shared" si="57"/>
        <v>1475.0796409828542</v>
      </c>
      <c r="E93" s="31">
        <f t="shared" si="57"/>
        <v>1545.8834637500313</v>
      </c>
      <c r="F93" s="31">
        <f t="shared" si="57"/>
        <v>1620.0858700100327</v>
      </c>
      <c r="G93" s="31">
        <f t="shared" si="57"/>
        <v>1697.8499917705146</v>
      </c>
      <c r="H93" s="31">
        <f t="shared" si="57"/>
        <v>1779.3467913754994</v>
      </c>
      <c r="I93" s="31">
        <f t="shared" si="57"/>
        <v>1864.7554373615235</v>
      </c>
      <c r="J93" s="31">
        <f t="shared" si="57"/>
        <v>1954.2636983548764</v>
      </c>
      <c r="K93" s="31">
        <f t="shared" si="57"/>
        <v>2048.0683558759106</v>
      </c>
      <c r="L93" s="31">
        <f t="shared" si="57"/>
        <v>2146.375636957954</v>
      </c>
      <c r="M93" s="31">
        <f t="shared" si="57"/>
        <v>2249.4016675319363</v>
      </c>
      <c r="N93" s="31">
        <f t="shared" si="57"/>
        <v>2357.3729475734694</v>
      </c>
      <c r="O93" s="900">
        <f t="shared" si="57"/>
        <v>2470.526849056996</v>
      </c>
      <c r="P93" s="1113"/>
    </row>
    <row r="94" spans="1:16" s="35" customFormat="1" ht="15">
      <c r="A94" s="32" t="s">
        <v>174</v>
      </c>
      <c r="B94" s="33">
        <f aca="true" t="shared" si="58" ref="B94:O94">B90*B92*30%/1000</f>
        <v>0</v>
      </c>
      <c r="C94" s="34">
        <f t="shared" si="58"/>
        <v>0</v>
      </c>
      <c r="D94" s="34">
        <f t="shared" si="58"/>
        <v>1956.3099455128768</v>
      </c>
      <c r="E94" s="34">
        <f t="shared" si="58"/>
        <v>3888.869004492509</v>
      </c>
      <c r="F94" s="34">
        <f t="shared" si="58"/>
        <v>5777.864313275462</v>
      </c>
      <c r="G94" s="34">
        <f t="shared" si="58"/>
        <v>7602.210162687024</v>
      </c>
      <c r="H94" s="34">
        <f t="shared" si="58"/>
        <v>7470.338328471436</v>
      </c>
      <c r="I94" s="34">
        <f t="shared" si="58"/>
        <v>7306.527121964475</v>
      </c>
      <c r="J94" s="34">
        <f t="shared" si="58"/>
        <v>7108.119900992342</v>
      </c>
      <c r="K94" s="34">
        <f t="shared" si="58"/>
        <v>6871.471969513871</v>
      </c>
      <c r="L94" s="34">
        <f t="shared" si="58"/>
        <v>6593.861757741318</v>
      </c>
      <c r="M94" s="34">
        <f t="shared" si="58"/>
        <v>6274.422542158775</v>
      </c>
      <c r="N94" s="34">
        <f t="shared" si="58"/>
        <v>5911.16170131356</v>
      </c>
      <c r="O94" s="819">
        <f t="shared" si="58"/>
        <v>5503.0811164407405</v>
      </c>
      <c r="P94" s="1113"/>
    </row>
    <row r="95" spans="1:16" s="35" customFormat="1" ht="15">
      <c r="A95" s="32" t="s">
        <v>86</v>
      </c>
      <c r="B95" s="33">
        <f>10%*B94</f>
        <v>0</v>
      </c>
      <c r="C95" s="34">
        <f aca="true" t="shared" si="59" ref="C95:O95">10%*C94</f>
        <v>0</v>
      </c>
      <c r="D95" s="34">
        <f t="shared" si="59"/>
        <v>195.6309945512877</v>
      </c>
      <c r="E95" s="34">
        <f t="shared" si="59"/>
        <v>388.8869004492509</v>
      </c>
      <c r="F95" s="34">
        <f t="shared" si="59"/>
        <v>577.7864313275462</v>
      </c>
      <c r="G95" s="34">
        <f t="shared" si="59"/>
        <v>760.2210162687024</v>
      </c>
      <c r="H95" s="34">
        <f t="shared" si="59"/>
        <v>747.0338328471437</v>
      </c>
      <c r="I95" s="34">
        <f t="shared" si="59"/>
        <v>730.6527121964475</v>
      </c>
      <c r="J95" s="34">
        <f t="shared" si="59"/>
        <v>710.8119900992342</v>
      </c>
      <c r="K95" s="34">
        <f t="shared" si="59"/>
        <v>687.1471969513872</v>
      </c>
      <c r="L95" s="34">
        <f t="shared" si="59"/>
        <v>659.3861757741319</v>
      </c>
      <c r="M95" s="34">
        <f t="shared" si="59"/>
        <v>627.4422542158776</v>
      </c>
      <c r="N95" s="34">
        <f t="shared" si="59"/>
        <v>591.1161701313561</v>
      </c>
      <c r="O95" s="819">
        <f t="shared" si="59"/>
        <v>550.3081116440741</v>
      </c>
      <c r="P95" s="1113"/>
    </row>
    <row r="96" spans="1:20" ht="15">
      <c r="A96" s="32"/>
      <c r="B96" s="263"/>
      <c r="C96" s="31"/>
      <c r="D96" s="31"/>
      <c r="E96" s="31"/>
      <c r="F96" s="31"/>
      <c r="G96" s="31"/>
      <c r="H96" s="31"/>
      <c r="I96" s="31"/>
      <c r="J96" s="31"/>
      <c r="K96" s="31"/>
      <c r="L96" s="31"/>
      <c r="M96" s="31"/>
      <c r="N96" s="31"/>
      <c r="O96" s="900"/>
      <c r="P96" s="1113"/>
      <c r="T96" s="279"/>
    </row>
    <row r="97" spans="1:16" ht="15">
      <c r="A97" s="633" t="s">
        <v>172</v>
      </c>
      <c r="B97" s="45">
        <f>B94+B95</f>
        <v>0</v>
      </c>
      <c r="C97" s="45">
        <f aca="true" t="shared" si="60" ref="C97:O97">C94+C95</f>
        <v>0</v>
      </c>
      <c r="D97" s="45">
        <f t="shared" si="60"/>
        <v>2151.9409400641644</v>
      </c>
      <c r="E97" s="45">
        <f t="shared" si="60"/>
        <v>4277.75590494176</v>
      </c>
      <c r="F97" s="45">
        <f t="shared" si="60"/>
        <v>6355.650744603008</v>
      </c>
      <c r="G97" s="45">
        <f t="shared" si="60"/>
        <v>8362.431178955727</v>
      </c>
      <c r="H97" s="45">
        <f t="shared" si="60"/>
        <v>8217.37216131858</v>
      </c>
      <c r="I97" s="45">
        <f t="shared" si="60"/>
        <v>8037.179834160922</v>
      </c>
      <c r="J97" s="45">
        <f t="shared" si="60"/>
        <v>7818.931891091576</v>
      </c>
      <c r="K97" s="45">
        <f t="shared" si="60"/>
        <v>7558.619166465258</v>
      </c>
      <c r="L97" s="45">
        <f t="shared" si="60"/>
        <v>7253.247933515449</v>
      </c>
      <c r="M97" s="45">
        <f t="shared" si="60"/>
        <v>6901.8647963746525</v>
      </c>
      <c r="N97" s="45">
        <f t="shared" si="60"/>
        <v>6502.277871444916</v>
      </c>
      <c r="O97" s="874">
        <f t="shared" si="60"/>
        <v>6053.389228084815</v>
      </c>
      <c r="P97" s="1113"/>
    </row>
    <row r="98" spans="1:16" ht="15">
      <c r="A98" s="633" t="s">
        <v>69</v>
      </c>
      <c r="B98" s="271">
        <f>B97/(ECO!L$66*1000)</f>
        <v>0</v>
      </c>
      <c r="C98" s="271">
        <f>C97/(ECO!M$66*1000)</f>
        <v>0</v>
      </c>
      <c r="D98" s="271">
        <f>D97/(ECO!N$66*1000)</f>
        <v>0.00012984688146924116</v>
      </c>
      <c r="E98" s="271">
        <f>E97/(ECO!O$66*1000)</f>
        <v>0.00023460264582728747</v>
      </c>
      <c r="F98" s="271">
        <f>F97/(ECO!P$66*1000)</f>
        <v>0.00031710206790263814</v>
      </c>
      <c r="G98" s="271">
        <f>G97/(ECO!Q$66*1000)</f>
        <v>0.0003800091320618026</v>
      </c>
      <c r="H98" s="271">
        <f>H97/(ECO!R$66*1000)</f>
        <v>0.00035228047063428383</v>
      </c>
      <c r="I98" s="271">
        <f>I97/(ECO!S$66*1000)</f>
        <v>0.0003250524412445361</v>
      </c>
      <c r="J98" s="271">
        <f>J97/(ECO!T$66*1000)</f>
        <v>0.0002983261414705644</v>
      </c>
      <c r="K98" s="271">
        <f>K97/(ECO!U$66*1000)</f>
        <v>0.0002720698893820816</v>
      </c>
      <c r="L98" s="271">
        <f>L97/(ECO!V$66*1000)</f>
        <v>0.0002463001482987678</v>
      </c>
      <c r="M98" s="271">
        <f>M97/(ECO!W$66*1000)</f>
        <v>0.00022110203132145572</v>
      </c>
      <c r="N98" s="271">
        <f>N97/(ECO!X$66*1000)</f>
        <v>0.00019651058329728054</v>
      </c>
      <c r="O98" s="968">
        <f>O97/(ECO!Y$66*1000)</f>
        <v>0.00017258901660496855</v>
      </c>
      <c r="P98" s="1113"/>
    </row>
    <row r="99" spans="1:16" ht="15">
      <c r="A99" s="969" t="s">
        <v>71</v>
      </c>
      <c r="B99" s="970">
        <f>B97/('GGO (SQ)'!L$24*1000)</f>
        <v>0</v>
      </c>
      <c r="C99" s="964">
        <f>C97/('GGO (SQ)'!M$24*1000)</f>
        <v>0</v>
      </c>
      <c r="D99" s="964">
        <f>D97/('GGO (SQ)'!N$24*1000)</f>
        <v>0.0008278511159220784</v>
      </c>
      <c r="E99" s="964">
        <f>E97/('GGO (SQ)'!O$24*1000)</f>
        <v>0.0014957314334299123</v>
      </c>
      <c r="F99" s="964">
        <f>F97/('GGO (SQ)'!P$24*1000)</f>
        <v>0.002021714328476831</v>
      </c>
      <c r="G99" s="964">
        <f>G97/('GGO (SQ)'!Q$24*1000)</f>
        <v>0.002422784286216883</v>
      </c>
      <c r="H99" s="964">
        <f>H97/('GGO (SQ)'!R$24*1000)</f>
        <v>0.0022459975736978405</v>
      </c>
      <c r="I99" s="964">
        <f>I97/('GGO (SQ)'!S$24*1000)</f>
        <v>0.0020724026882480784</v>
      </c>
      <c r="J99" s="964">
        <f>J97/('GGO (SQ)'!T$24*1000)</f>
        <v>0.0019020066275803322</v>
      </c>
      <c r="K99" s="964">
        <f>K97/('GGO (SQ)'!U$24*1000)</f>
        <v>0.0017346074005412842</v>
      </c>
      <c r="L99" s="964">
        <f>L97/('GGO (SQ)'!V$24*1000)</f>
        <v>0.0015703099705880054</v>
      </c>
      <c r="M99" s="964">
        <f>M97/('GGO (SQ)'!W$24*1000)</f>
        <v>0.001409656984372511</v>
      </c>
      <c r="N99" s="964">
        <f>N97/('GGO (SQ)'!X$24*1000)</f>
        <v>0.0012528718736436427</v>
      </c>
      <c r="O99" s="971">
        <f>O97/('GGO (SQ)'!Y$24*1000)</f>
        <v>0.001100357654921139</v>
      </c>
      <c r="P99" s="1113"/>
    </row>
    <row r="100" spans="1:16" ht="15">
      <c r="A100" s="46"/>
      <c r="B100" s="609"/>
      <c r="C100" s="609"/>
      <c r="D100" s="609"/>
      <c r="E100" s="609"/>
      <c r="F100" s="609"/>
      <c r="G100" s="609"/>
      <c r="H100" s="609"/>
      <c r="I100" s="609"/>
      <c r="J100" s="609"/>
      <c r="K100" s="609"/>
      <c r="L100" s="609"/>
      <c r="M100" s="609"/>
      <c r="N100" s="609"/>
      <c r="O100" s="609"/>
      <c r="P100" s="31"/>
    </row>
    <row r="101" spans="1:16" ht="15">
      <c r="A101" s="1117" t="s">
        <v>525</v>
      </c>
      <c r="B101" s="1118"/>
      <c r="C101" s="1118"/>
      <c r="D101" s="1118"/>
      <c r="E101" s="1118"/>
      <c r="F101" s="1118"/>
      <c r="G101" s="1118"/>
      <c r="H101" s="1118"/>
      <c r="I101" s="1118"/>
      <c r="J101" s="1118"/>
      <c r="K101" s="1118"/>
      <c r="L101" s="1118"/>
      <c r="M101" s="1118"/>
      <c r="N101" s="1118"/>
      <c r="O101" s="1119"/>
      <c r="P101" s="643"/>
    </row>
    <row r="102" spans="1:16" ht="15">
      <c r="A102" s="32" t="s">
        <v>516</v>
      </c>
      <c r="B102" s="263">
        <f>ECO!L49</f>
        <v>5829.08519623654</v>
      </c>
      <c r="C102" s="31">
        <f>ECO!M49</f>
        <v>5573.919700672438</v>
      </c>
      <c r="D102" s="31">
        <f>ECO!N49</f>
        <v>5304.960874409129</v>
      </c>
      <c r="E102" s="31">
        <f>ECO!O49</f>
        <v>5031.257653871039</v>
      </c>
      <c r="F102" s="31">
        <f>ECO!P49</f>
        <v>4755.191824689869</v>
      </c>
      <c r="G102" s="31">
        <f>ECO!Q49</f>
        <v>4477.551137930303</v>
      </c>
      <c r="H102" s="31">
        <f>ECO!R49</f>
        <v>4198.359962588628</v>
      </c>
      <c r="I102" s="28">
        <f>ECO!S49</f>
        <v>3918.222720027358</v>
      </c>
      <c r="J102" s="28">
        <f>ECO!T49</f>
        <v>3637.2368309230974</v>
      </c>
      <c r="K102" s="28">
        <f>ECO!U49</f>
        <v>3355.0989398374372</v>
      </c>
      <c r="L102" s="28">
        <f>ECO!V49</f>
        <v>3072.091224016482</v>
      </c>
      <c r="M102" s="28">
        <f>ECO!W49</f>
        <v>2789.3740067522613</v>
      </c>
      <c r="N102" s="28">
        <f>ECO!X49</f>
        <v>2507.5208008126738</v>
      </c>
      <c r="O102" s="29">
        <f>ECO!Y49</f>
        <v>2227.4929408442877</v>
      </c>
      <c r="P102" s="1113"/>
    </row>
    <row r="103" spans="1:16" ht="15">
      <c r="A103" s="32" t="s">
        <v>74</v>
      </c>
      <c r="B103" s="266">
        <v>0</v>
      </c>
      <c r="C103" s="267">
        <v>0</v>
      </c>
      <c r="D103" s="267">
        <v>0.25</v>
      </c>
      <c r="E103" s="267">
        <v>0.5</v>
      </c>
      <c r="F103" s="267">
        <v>0.75</v>
      </c>
      <c r="G103" s="267">
        <v>1</v>
      </c>
      <c r="H103" s="267">
        <v>1</v>
      </c>
      <c r="I103" s="267">
        <v>1</v>
      </c>
      <c r="J103" s="267">
        <v>1</v>
      </c>
      <c r="K103" s="267">
        <v>1</v>
      </c>
      <c r="L103" s="267">
        <v>1</v>
      </c>
      <c r="M103" s="267">
        <v>1</v>
      </c>
      <c r="N103" s="267">
        <v>1</v>
      </c>
      <c r="O103" s="967">
        <v>1</v>
      </c>
      <c r="P103" s="1113"/>
    </row>
    <row r="104" spans="1:16" s="35" customFormat="1" ht="15">
      <c r="A104" s="32" t="s">
        <v>70</v>
      </c>
      <c r="B104" s="263">
        <f aca="true" t="shared" si="61" ref="B104:O104">B102*B103</f>
        <v>0</v>
      </c>
      <c r="C104" s="31">
        <f t="shared" si="61"/>
        <v>0</v>
      </c>
      <c r="D104" s="31">
        <f t="shared" si="61"/>
        <v>1326.2402186022823</v>
      </c>
      <c r="E104" s="31">
        <f t="shared" si="61"/>
        <v>2515.6288269355196</v>
      </c>
      <c r="F104" s="31">
        <f t="shared" si="61"/>
        <v>3566.3938685174016</v>
      </c>
      <c r="G104" s="31">
        <f t="shared" si="61"/>
        <v>4477.551137930303</v>
      </c>
      <c r="H104" s="31">
        <f t="shared" si="61"/>
        <v>4198.359962588628</v>
      </c>
      <c r="I104" s="31">
        <f t="shared" si="61"/>
        <v>3918.222720027358</v>
      </c>
      <c r="J104" s="31">
        <f t="shared" si="61"/>
        <v>3637.2368309230974</v>
      </c>
      <c r="K104" s="31">
        <f t="shared" si="61"/>
        <v>3355.0989398374372</v>
      </c>
      <c r="L104" s="31">
        <f t="shared" si="61"/>
        <v>3072.091224016482</v>
      </c>
      <c r="M104" s="31">
        <f t="shared" si="61"/>
        <v>2789.3740067522613</v>
      </c>
      <c r="N104" s="31">
        <f t="shared" si="61"/>
        <v>2507.5208008126738</v>
      </c>
      <c r="O104" s="900">
        <f t="shared" si="61"/>
        <v>2227.4929408442877</v>
      </c>
      <c r="P104" s="1113"/>
    </row>
    <row r="105" spans="1:16" s="35" customFormat="1" ht="15">
      <c r="A105" s="32"/>
      <c r="B105" s="264"/>
      <c r="C105" s="36"/>
      <c r="D105" s="36"/>
      <c r="E105" s="36"/>
      <c r="F105" s="36"/>
      <c r="G105" s="36"/>
      <c r="H105" s="36"/>
      <c r="I105" s="36"/>
      <c r="J105" s="36"/>
      <c r="K105" s="36"/>
      <c r="L105" s="36"/>
      <c r="M105" s="36"/>
      <c r="N105" s="36"/>
      <c r="O105" s="1005"/>
      <c r="P105" s="1113"/>
    </row>
    <row r="106" spans="1:16" s="35" customFormat="1" ht="15">
      <c r="A106" s="32" t="s">
        <v>173</v>
      </c>
      <c r="B106" s="263">
        <f>11%*ECO!L84</f>
        <v>4476.840780521162</v>
      </c>
      <c r="C106" s="31">
        <f>11%*ECO!M84</f>
        <v>4691.729137986177</v>
      </c>
      <c r="D106" s="31">
        <f>11%*ECO!N84</f>
        <v>4916.932136609515</v>
      </c>
      <c r="E106" s="31">
        <f>11%*ECO!O84</f>
        <v>5152.944879166771</v>
      </c>
      <c r="F106" s="31">
        <f>11%*ECO!P84</f>
        <v>5400.286233366776</v>
      </c>
      <c r="G106" s="31">
        <f>11%*ECO!Q84</f>
        <v>5659.499972568382</v>
      </c>
      <c r="H106" s="31">
        <f>11%*ECO!R84</f>
        <v>5931.155971251665</v>
      </c>
      <c r="I106" s="31">
        <f>11%*ECO!S84</f>
        <v>6215.851457871745</v>
      </c>
      <c r="J106" s="31">
        <f>11%*ECO!T84</f>
        <v>6514.212327849588</v>
      </c>
      <c r="K106" s="31">
        <f>11%*ECO!U84</f>
        <v>6826.894519586369</v>
      </c>
      <c r="L106" s="31">
        <f>11%*ECO!V84</f>
        <v>7154.5854565265145</v>
      </c>
      <c r="M106" s="31">
        <f>11%*ECO!W84</f>
        <v>7498.005558439788</v>
      </c>
      <c r="N106" s="31">
        <f>11%*ECO!X84</f>
        <v>7857.9098252448985</v>
      </c>
      <c r="O106" s="900">
        <f>11%*ECO!Y84</f>
        <v>8235.089496856654</v>
      </c>
      <c r="P106" s="1113"/>
    </row>
    <row r="107" spans="1:16" s="35" customFormat="1" ht="15">
      <c r="A107" s="32" t="s">
        <v>390</v>
      </c>
      <c r="B107" s="263">
        <f>B106*50%</f>
        <v>2238.420390260581</v>
      </c>
      <c r="C107" s="31">
        <f aca="true" t="shared" si="62" ref="C107:O107">C106*50%</f>
        <v>2345.8645689930886</v>
      </c>
      <c r="D107" s="31">
        <f t="shared" si="62"/>
        <v>2458.4660683047573</v>
      </c>
      <c r="E107" s="31">
        <f t="shared" si="62"/>
        <v>2576.4724395833855</v>
      </c>
      <c r="F107" s="31">
        <f t="shared" si="62"/>
        <v>2700.143116683388</v>
      </c>
      <c r="G107" s="31">
        <f t="shared" si="62"/>
        <v>2829.749986284191</v>
      </c>
      <c r="H107" s="31">
        <f t="shared" si="62"/>
        <v>2965.5779856258323</v>
      </c>
      <c r="I107" s="31">
        <f t="shared" si="62"/>
        <v>3107.9257289358725</v>
      </c>
      <c r="J107" s="31">
        <f t="shared" si="62"/>
        <v>3257.106163924794</v>
      </c>
      <c r="K107" s="31">
        <f t="shared" si="62"/>
        <v>3413.4472597931845</v>
      </c>
      <c r="L107" s="31">
        <f t="shared" si="62"/>
        <v>3577.2927282632572</v>
      </c>
      <c r="M107" s="31">
        <f t="shared" si="62"/>
        <v>3749.002779219894</v>
      </c>
      <c r="N107" s="31">
        <f t="shared" si="62"/>
        <v>3928.9549126224492</v>
      </c>
      <c r="O107" s="900">
        <f t="shared" si="62"/>
        <v>4117.544748428327</v>
      </c>
      <c r="P107" s="1113"/>
    </row>
    <row r="108" spans="1:16" s="35" customFormat="1" ht="15">
      <c r="A108" s="32" t="s">
        <v>174</v>
      </c>
      <c r="B108" s="33">
        <f aca="true" t="shared" si="63" ref="B108:O108">B104*B106*50%/1000</f>
        <v>0</v>
      </c>
      <c r="C108" s="34">
        <f t="shared" si="63"/>
        <v>0</v>
      </c>
      <c r="D108" s="34">
        <f t="shared" si="63"/>
        <v>3260.516575854795</v>
      </c>
      <c r="E108" s="34">
        <f t="shared" si="63"/>
        <v>6481.448340820848</v>
      </c>
      <c r="F108" s="34">
        <f t="shared" si="63"/>
        <v>9629.773855459103</v>
      </c>
      <c r="G108" s="34">
        <f t="shared" si="63"/>
        <v>12670.35027114504</v>
      </c>
      <c r="H108" s="34">
        <f t="shared" si="63"/>
        <v>12450.563880785729</v>
      </c>
      <c r="I108" s="34">
        <f t="shared" si="63"/>
        <v>12177.545203274123</v>
      </c>
      <c r="J108" s="34">
        <f t="shared" si="63"/>
        <v>11846.866501653903</v>
      </c>
      <c r="K108" s="34">
        <f t="shared" si="63"/>
        <v>11452.453282523118</v>
      </c>
      <c r="L108" s="34">
        <f t="shared" si="63"/>
        <v>10989.76959623553</v>
      </c>
      <c r="M108" s="34">
        <f t="shared" si="63"/>
        <v>10457.37090359796</v>
      </c>
      <c r="N108" s="34">
        <f t="shared" si="63"/>
        <v>9851.936168855933</v>
      </c>
      <c r="O108" s="819">
        <f t="shared" si="63"/>
        <v>9171.801860734568</v>
      </c>
      <c r="P108" s="1113"/>
    </row>
    <row r="109" spans="1:16" s="35" customFormat="1" ht="15">
      <c r="A109" s="32" t="s">
        <v>86</v>
      </c>
      <c r="B109" s="33">
        <f>10%*B108</f>
        <v>0</v>
      </c>
      <c r="C109" s="34">
        <f aca="true" t="shared" si="64" ref="C109:O109">10%*C108</f>
        <v>0</v>
      </c>
      <c r="D109" s="34">
        <f t="shared" si="64"/>
        <v>326.0516575854795</v>
      </c>
      <c r="E109" s="34">
        <f t="shared" si="64"/>
        <v>648.1448340820848</v>
      </c>
      <c r="F109" s="34">
        <f t="shared" si="64"/>
        <v>962.9773855459104</v>
      </c>
      <c r="G109" s="34">
        <f t="shared" si="64"/>
        <v>1267.0350271145041</v>
      </c>
      <c r="H109" s="34">
        <f t="shared" si="64"/>
        <v>1245.056388078573</v>
      </c>
      <c r="I109" s="34">
        <f t="shared" si="64"/>
        <v>1217.7545203274124</v>
      </c>
      <c r="J109" s="34">
        <f t="shared" si="64"/>
        <v>1184.6866501653903</v>
      </c>
      <c r="K109" s="34">
        <f t="shared" si="64"/>
        <v>1145.2453282523118</v>
      </c>
      <c r="L109" s="34">
        <f t="shared" si="64"/>
        <v>1098.976959623553</v>
      </c>
      <c r="M109" s="34">
        <f t="shared" si="64"/>
        <v>1045.737090359796</v>
      </c>
      <c r="N109" s="34">
        <f t="shared" si="64"/>
        <v>985.1936168855933</v>
      </c>
      <c r="O109" s="819">
        <f t="shared" si="64"/>
        <v>917.1801860734568</v>
      </c>
      <c r="P109" s="1113"/>
    </row>
    <row r="110" spans="1:16" ht="15">
      <c r="A110" s="32"/>
      <c r="B110" s="263"/>
      <c r="C110" s="31"/>
      <c r="D110" s="31"/>
      <c r="E110" s="31"/>
      <c r="F110" s="31"/>
      <c r="G110" s="31"/>
      <c r="H110" s="31"/>
      <c r="I110" s="31"/>
      <c r="J110" s="31"/>
      <c r="K110" s="31"/>
      <c r="L110" s="31"/>
      <c r="M110" s="31"/>
      <c r="N110" s="31"/>
      <c r="O110" s="900"/>
      <c r="P110" s="1113"/>
    </row>
    <row r="111" spans="1:16" ht="15">
      <c r="A111" s="633" t="s">
        <v>289</v>
      </c>
      <c r="B111" s="45">
        <f>B108+B109</f>
        <v>0</v>
      </c>
      <c r="C111" s="45">
        <f aca="true" t="shared" si="65" ref="C111:O111">C108+C109</f>
        <v>0</v>
      </c>
      <c r="D111" s="45">
        <f t="shared" si="65"/>
        <v>3586.5682334402745</v>
      </c>
      <c r="E111" s="45">
        <f t="shared" si="65"/>
        <v>7129.593174902933</v>
      </c>
      <c r="F111" s="45">
        <f t="shared" si="65"/>
        <v>10592.751241005013</v>
      </c>
      <c r="G111" s="45">
        <f t="shared" si="65"/>
        <v>13937.385298259544</v>
      </c>
      <c r="H111" s="45">
        <f t="shared" si="65"/>
        <v>13695.620268864302</v>
      </c>
      <c r="I111" s="45">
        <f t="shared" si="65"/>
        <v>13395.299723601536</v>
      </c>
      <c r="J111" s="45">
        <f t="shared" si="65"/>
        <v>13031.553151819295</v>
      </c>
      <c r="K111" s="45">
        <f t="shared" si="65"/>
        <v>12597.69861077543</v>
      </c>
      <c r="L111" s="45">
        <f t="shared" si="65"/>
        <v>12088.746555859083</v>
      </c>
      <c r="M111" s="45">
        <f t="shared" si="65"/>
        <v>11503.107993957756</v>
      </c>
      <c r="N111" s="45">
        <f t="shared" si="65"/>
        <v>10837.129785741527</v>
      </c>
      <c r="O111" s="874">
        <f t="shared" si="65"/>
        <v>10088.982046808025</v>
      </c>
      <c r="P111" s="1113"/>
    </row>
    <row r="112" spans="1:16" ht="15">
      <c r="A112" s="633" t="s">
        <v>69</v>
      </c>
      <c r="B112" s="271">
        <f>B111/(ECO!L$66*1000)</f>
        <v>0</v>
      </c>
      <c r="C112" s="271">
        <f>C111/(ECO!M$66*1000)</f>
        <v>0</v>
      </c>
      <c r="D112" s="271">
        <f>D111/(ECO!N$66*1000)</f>
        <v>0.00021641146911540197</v>
      </c>
      <c r="E112" s="271">
        <f>E111/(ECO!O$66*1000)</f>
        <v>0.00039100440971214586</v>
      </c>
      <c r="F112" s="271">
        <f>F111/(ECO!P$66*1000)</f>
        <v>0.0005285034465043969</v>
      </c>
      <c r="G112" s="271">
        <f>G111/(ECO!Q$66*1000)</f>
        <v>0.0006333485534363375</v>
      </c>
      <c r="H112" s="271">
        <f>H111/(ECO!R$66*1000)</f>
        <v>0.0005871341177238064</v>
      </c>
      <c r="I112" s="271">
        <f>I111/(ECO!S$66*1000)</f>
        <v>0.0005417540687408935</v>
      </c>
      <c r="J112" s="271">
        <f>J111/(ECO!T$66*1000)</f>
        <v>0.000497210235784274</v>
      </c>
      <c r="K112" s="271">
        <f>K111/(ECO!U$66*1000)</f>
        <v>0.0004534498156368026</v>
      </c>
      <c r="L112" s="271">
        <f>L111/(ECO!V$66*1000)</f>
        <v>0.00041050024716461305</v>
      </c>
      <c r="M112" s="271">
        <f>M111/(ECO!W$66*1000)</f>
        <v>0.00036850338553575957</v>
      </c>
      <c r="N112" s="271">
        <f>N111/(ECO!X$66*1000)</f>
        <v>0.0003275176388288009</v>
      </c>
      <c r="O112" s="968">
        <f>O111/(ECO!Y$66*1000)</f>
        <v>0.00028764836100828093</v>
      </c>
      <c r="P112" s="1113"/>
    </row>
    <row r="113" spans="1:16" ht="15">
      <c r="A113" s="969" t="s">
        <v>71</v>
      </c>
      <c r="B113" s="970">
        <f>B111/('GGO (SQ)'!L$24*1000)</f>
        <v>0</v>
      </c>
      <c r="C113" s="964">
        <f>C111/('GGO (SQ)'!M$24*1000)</f>
        <v>0</v>
      </c>
      <c r="D113" s="964">
        <f>D111/('GGO (SQ)'!N$24*1000)</f>
        <v>0.0013797518598701309</v>
      </c>
      <c r="E113" s="964">
        <f>E111/('GGO (SQ)'!O$24*1000)</f>
        <v>0.002492885722383188</v>
      </c>
      <c r="F113" s="964">
        <f>F111/('GGO (SQ)'!P$24*1000)</f>
        <v>0.0033695238807947185</v>
      </c>
      <c r="G113" s="964">
        <f>G111/('GGO (SQ)'!Q$24*1000)</f>
        <v>0.004037973810361471</v>
      </c>
      <c r="H113" s="964">
        <f>H111/('GGO (SQ)'!R$24*1000)</f>
        <v>0.003743329289496401</v>
      </c>
      <c r="I113" s="964">
        <f>I111/('GGO (SQ)'!S$24*1000)</f>
        <v>0.003454004480413464</v>
      </c>
      <c r="J113" s="964">
        <f>J111/('GGO (SQ)'!T$24*1000)</f>
        <v>0.0031700110459672204</v>
      </c>
      <c r="K113" s="964">
        <f>K111/('GGO (SQ)'!U$24*1000)</f>
        <v>0.0028910123342354736</v>
      </c>
      <c r="L113" s="964">
        <f>L111/('GGO (SQ)'!V$24*1000)</f>
        <v>0.0026171832843133423</v>
      </c>
      <c r="M113" s="964">
        <f>M111/('GGO (SQ)'!W$24*1000)</f>
        <v>0.0023494283072875185</v>
      </c>
      <c r="N113" s="964">
        <f>N111/('GGO (SQ)'!X$24*1000)</f>
        <v>0.002088119789406071</v>
      </c>
      <c r="O113" s="971">
        <f>O111/('GGO (SQ)'!Y$24*1000)</f>
        <v>0.001833929424868565</v>
      </c>
      <c r="P113" s="1113"/>
    </row>
    <row r="114" ht="14.25"/>
    <row r="115" spans="1:15" ht="15">
      <c r="A115" s="1136" t="s">
        <v>514</v>
      </c>
      <c r="B115" s="1136"/>
      <c r="C115" s="1136"/>
      <c r="D115" s="1136"/>
      <c r="E115" s="1136"/>
      <c r="F115" s="1136"/>
      <c r="G115" s="1136"/>
      <c r="H115" s="1136"/>
      <c r="I115" s="1136"/>
      <c r="J115" s="1136"/>
      <c r="K115" s="1136"/>
      <c r="L115" s="1136"/>
      <c r="M115" s="1136"/>
      <c r="N115" s="1136"/>
      <c r="O115" s="1136"/>
    </row>
    <row r="116" spans="1:16" ht="14.25" customHeight="1">
      <c r="A116" s="1132" t="s">
        <v>526</v>
      </c>
      <c r="B116" s="1133"/>
      <c r="C116" s="1133"/>
      <c r="D116" s="1133"/>
      <c r="E116" s="1133"/>
      <c r="F116" s="1133"/>
      <c r="G116" s="1133"/>
      <c r="H116" s="1133"/>
      <c r="I116" s="1133"/>
      <c r="J116" s="1133"/>
      <c r="K116" s="1133"/>
      <c r="L116" s="1133"/>
      <c r="M116" s="1133"/>
      <c r="N116" s="1133"/>
      <c r="O116" s="1134"/>
      <c r="P116" s="1131"/>
    </row>
    <row r="117" spans="1:16" ht="15">
      <c r="A117" s="30" t="s">
        <v>191</v>
      </c>
      <c r="B117" s="263">
        <f>POP!L$91</f>
        <v>1775.1949871387355</v>
      </c>
      <c r="C117" s="31">
        <f>POP!M$91</f>
        <v>1809.1560049437041</v>
      </c>
      <c r="D117" s="31">
        <f>POP!N$91</f>
        <v>1842.9615947495652</v>
      </c>
      <c r="E117" s="31">
        <f>POP!O$91</f>
        <v>1876.7671845554264</v>
      </c>
      <c r="F117" s="31">
        <f>POP!P$91</f>
        <v>1910.650488360841</v>
      </c>
      <c r="G117" s="31">
        <f>POP!Q$91</f>
        <v>1944.7410294983993</v>
      </c>
      <c r="H117" s="31">
        <f>POP!R$91</f>
        <v>1979.0388079681004</v>
      </c>
      <c r="I117" s="28">
        <f>POP!S$91</f>
        <v>2013.3883957708374</v>
      </c>
      <c r="J117" s="28">
        <f>POP!T$91</f>
        <v>2047.9970302387535</v>
      </c>
      <c r="K117" s="28">
        <f>POP!U$91</f>
        <v>2082.8388067053306</v>
      </c>
      <c r="L117" s="28">
        <f>POP!V$91</f>
        <v>2118.1209625027122</v>
      </c>
      <c r="M117" s="28">
        <f>POP!W$91</f>
        <v>2153.066357635361</v>
      </c>
      <c r="N117" s="28">
        <f>POP!X$91</f>
        <v>2188.167180767117</v>
      </c>
      <c r="O117" s="29">
        <f>POP!Y$91</f>
        <v>2223.578859897088</v>
      </c>
      <c r="P117" s="1131"/>
    </row>
    <row r="118" spans="1:16" ht="15">
      <c r="A118" s="30" t="s">
        <v>195</v>
      </c>
      <c r="B118" s="263">
        <f>B117*ECO!L$56</f>
        <v>454.1963174236393</v>
      </c>
      <c r="C118" s="31">
        <f>C117*ECO!M$56</f>
        <v>459.00872354000256</v>
      </c>
      <c r="D118" s="31">
        <f>D117*ECO!N$56</f>
        <v>463.6364811934262</v>
      </c>
      <c r="E118" s="31">
        <f>E117*ECO!O$56</f>
        <v>468.11935774768193</v>
      </c>
      <c r="F118" s="31">
        <f>F117*ECO!P$56</f>
        <v>472.4765707646593</v>
      </c>
      <c r="G118" s="31">
        <f>G117*ECO!Q$56</f>
        <v>476.7393723741789</v>
      </c>
      <c r="H118" s="31">
        <f>H117*ECO!R$56</f>
        <v>480.90643033624826</v>
      </c>
      <c r="I118" s="31">
        <f>I117*ECO!S$56</f>
        <v>484.93897646709013</v>
      </c>
      <c r="J118" s="31">
        <f>J117*ECO!T$56</f>
        <v>488.8861482184223</v>
      </c>
      <c r="K118" s="31">
        <f>K117*ECO!U$56</f>
        <v>492.7401519862895</v>
      </c>
      <c r="L118" s="31">
        <f>L117*ECO!V$56</f>
        <v>496.5480713524214</v>
      </c>
      <c r="M118" s="31">
        <f>M117*ECO!W$56</f>
        <v>500.12655678787087</v>
      </c>
      <c r="N118" s="31">
        <f>N117*ECO!X$56</f>
        <v>503.5910468879749</v>
      </c>
      <c r="O118" s="900">
        <f>O117*ECO!Y$56</f>
        <v>506.97598005653606</v>
      </c>
      <c r="P118" s="1131"/>
    </row>
    <row r="119" spans="1:16" s="35" customFormat="1" ht="15">
      <c r="A119" s="32" t="s">
        <v>74</v>
      </c>
      <c r="B119" s="266">
        <v>0</v>
      </c>
      <c r="C119" s="267">
        <v>0</v>
      </c>
      <c r="D119" s="267">
        <v>0.25</v>
      </c>
      <c r="E119" s="267">
        <v>0.5</v>
      </c>
      <c r="F119" s="267">
        <v>0.75</v>
      </c>
      <c r="G119" s="267">
        <v>1</v>
      </c>
      <c r="H119" s="267">
        <v>1</v>
      </c>
      <c r="I119" s="267">
        <v>1</v>
      </c>
      <c r="J119" s="267">
        <v>1</v>
      </c>
      <c r="K119" s="267">
        <v>1</v>
      </c>
      <c r="L119" s="267">
        <v>1</v>
      </c>
      <c r="M119" s="267">
        <v>1</v>
      </c>
      <c r="N119" s="267">
        <v>1</v>
      </c>
      <c r="O119" s="967">
        <v>1</v>
      </c>
      <c r="P119" s="1131"/>
    </row>
    <row r="120" spans="1:16" s="35" customFormat="1" ht="15">
      <c r="A120" s="32" t="s">
        <v>70</v>
      </c>
      <c r="B120" s="33">
        <f aca="true" t="shared" si="66" ref="B120:O120">B118*B119</f>
        <v>0</v>
      </c>
      <c r="C120" s="34">
        <f t="shared" si="66"/>
        <v>0</v>
      </c>
      <c r="D120" s="34">
        <f t="shared" si="66"/>
        <v>115.90912029835656</v>
      </c>
      <c r="E120" s="34">
        <f t="shared" si="66"/>
        <v>234.05967887384097</v>
      </c>
      <c r="F120" s="34">
        <f t="shared" si="66"/>
        <v>354.3574280734945</v>
      </c>
      <c r="G120" s="34">
        <f t="shared" si="66"/>
        <v>476.7393723741789</v>
      </c>
      <c r="H120" s="34">
        <f t="shared" si="66"/>
        <v>480.90643033624826</v>
      </c>
      <c r="I120" s="34">
        <f t="shared" si="66"/>
        <v>484.93897646709013</v>
      </c>
      <c r="J120" s="34">
        <f t="shared" si="66"/>
        <v>488.8861482184223</v>
      </c>
      <c r="K120" s="34">
        <f t="shared" si="66"/>
        <v>492.7401519862895</v>
      </c>
      <c r="L120" s="34">
        <f t="shared" si="66"/>
        <v>496.5480713524214</v>
      </c>
      <c r="M120" s="34">
        <f t="shared" si="66"/>
        <v>500.12655678787087</v>
      </c>
      <c r="N120" s="34">
        <f t="shared" si="66"/>
        <v>503.5910468879749</v>
      </c>
      <c r="O120" s="819">
        <f t="shared" si="66"/>
        <v>506.97598005653606</v>
      </c>
      <c r="P120" s="1131"/>
    </row>
    <row r="121" spans="1:16" s="35" customFormat="1" ht="15">
      <c r="A121" s="32"/>
      <c r="B121" s="264"/>
      <c r="C121" s="36"/>
      <c r="D121" s="36"/>
      <c r="E121" s="36"/>
      <c r="F121" s="36"/>
      <c r="G121" s="36"/>
      <c r="H121" s="36"/>
      <c r="I121" s="36"/>
      <c r="J121" s="36"/>
      <c r="K121" s="36"/>
      <c r="L121" s="36"/>
      <c r="M121" s="36"/>
      <c r="N121" s="36"/>
      <c r="O121" s="1005"/>
      <c r="P121" s="1131"/>
    </row>
    <row r="122" spans="1:15" s="35" customFormat="1" ht="15">
      <c r="A122" s="32" t="s">
        <v>175</v>
      </c>
      <c r="B122" s="33">
        <f>(20*200)</f>
        <v>4000</v>
      </c>
      <c r="C122" s="34">
        <f aca="true" t="shared" si="67" ref="C122:H122">(20*200)</f>
        <v>4000</v>
      </c>
      <c r="D122" s="34">
        <f t="shared" si="67"/>
        <v>4000</v>
      </c>
      <c r="E122" s="34">
        <f t="shared" si="67"/>
        <v>4000</v>
      </c>
      <c r="F122" s="34">
        <f t="shared" si="67"/>
        <v>4000</v>
      </c>
      <c r="G122" s="34">
        <f t="shared" si="67"/>
        <v>4000</v>
      </c>
      <c r="H122" s="34">
        <f t="shared" si="67"/>
        <v>4000</v>
      </c>
      <c r="I122" s="34">
        <f>(200*(1+ECO!O10)*(1+ECO!P10)*(1+ECO!Q10)*(1+ECO!R10)*(1+ECO!S10))*20</f>
        <v>4704.91579828224</v>
      </c>
      <c r="J122" s="34">
        <f>I122</f>
        <v>4704.91579828224</v>
      </c>
      <c r="K122" s="34">
        <f aca="true" t="shared" si="68" ref="K122:O122">J122</f>
        <v>4704.91579828224</v>
      </c>
      <c r="L122" s="34">
        <f t="shared" si="68"/>
        <v>4704.91579828224</v>
      </c>
      <c r="M122" s="34">
        <f t="shared" si="68"/>
        <v>4704.91579828224</v>
      </c>
      <c r="N122" s="34">
        <f>(M122*(1+ECO!T10)*(1+ECO!U10)*(1+ECO!V10)*(1+ECO!W10)*(1+ECO!X10))</f>
        <v>5507.447195770309</v>
      </c>
      <c r="O122" s="819">
        <f t="shared" si="68"/>
        <v>5507.447195770309</v>
      </c>
    </row>
    <row r="123" spans="1:15" s="35" customFormat="1" ht="15">
      <c r="A123" s="32" t="s">
        <v>85</v>
      </c>
      <c r="B123" s="33">
        <f aca="true" t="shared" si="69" ref="B123:O123">B120*B122/1000</f>
        <v>0</v>
      </c>
      <c r="C123" s="34">
        <f t="shared" si="69"/>
        <v>0</v>
      </c>
      <c r="D123" s="34">
        <f t="shared" si="69"/>
        <v>463.6364811934262</v>
      </c>
      <c r="E123" s="34">
        <f t="shared" si="69"/>
        <v>936.2387154953639</v>
      </c>
      <c r="F123" s="34">
        <f t="shared" si="69"/>
        <v>1417.429712293978</v>
      </c>
      <c r="G123" s="34">
        <f t="shared" si="69"/>
        <v>1906.9574894967157</v>
      </c>
      <c r="H123" s="34">
        <f t="shared" si="69"/>
        <v>1923.625721344993</v>
      </c>
      <c r="I123" s="34">
        <f t="shared" si="69"/>
        <v>2281.5970515828317</v>
      </c>
      <c r="J123" s="34">
        <f t="shared" si="69"/>
        <v>2300.1681623142076</v>
      </c>
      <c r="K123" s="34">
        <f t="shared" si="69"/>
        <v>2318.3009255282855</v>
      </c>
      <c r="L123" s="34">
        <f t="shared" si="69"/>
        <v>2336.2168655125843</v>
      </c>
      <c r="M123" s="34">
        <f t="shared" si="69"/>
        <v>2353.0533381717537</v>
      </c>
      <c r="N123" s="34">
        <f t="shared" si="69"/>
        <v>2773.501098998212</v>
      </c>
      <c r="O123" s="819">
        <f t="shared" si="69"/>
        <v>2792.1434396852733</v>
      </c>
    </row>
    <row r="124" spans="1:15" s="35" customFormat="1" ht="15">
      <c r="A124" s="32" t="s">
        <v>86</v>
      </c>
      <c r="B124" s="33">
        <f>5%*B123</f>
        <v>0</v>
      </c>
      <c r="C124" s="34">
        <f>5%*C123</f>
        <v>0</v>
      </c>
      <c r="D124" s="34">
        <f aca="true" t="shared" si="70" ref="D124:I124">10%*D123</f>
        <v>46.36364811934263</v>
      </c>
      <c r="E124" s="34">
        <f t="shared" si="70"/>
        <v>93.62387154953639</v>
      </c>
      <c r="F124" s="34">
        <f t="shared" si="70"/>
        <v>141.7429712293978</v>
      </c>
      <c r="G124" s="34">
        <f t="shared" si="70"/>
        <v>190.69574894967158</v>
      </c>
      <c r="H124" s="34">
        <f t="shared" si="70"/>
        <v>192.36257213449932</v>
      </c>
      <c r="I124" s="34">
        <f t="shared" si="70"/>
        <v>228.15970515828317</v>
      </c>
      <c r="J124" s="34">
        <f aca="true" t="shared" si="71" ref="J124">10%*J123</f>
        <v>230.01681623142076</v>
      </c>
      <c r="K124" s="34">
        <f aca="true" t="shared" si="72" ref="K124">10%*K123</f>
        <v>231.83009255282855</v>
      </c>
      <c r="L124" s="34">
        <f aca="true" t="shared" si="73" ref="L124">10%*L123</f>
        <v>233.62168655125845</v>
      </c>
      <c r="M124" s="34">
        <f aca="true" t="shared" si="74" ref="M124">10%*M123</f>
        <v>235.30533381717538</v>
      </c>
      <c r="N124" s="34">
        <f>10%*N123</f>
        <v>277.35010989982123</v>
      </c>
      <c r="O124" s="819">
        <f aca="true" t="shared" si="75" ref="O124">10%*O123</f>
        <v>279.2143439685273</v>
      </c>
    </row>
    <row r="125" spans="1:15" ht="15">
      <c r="A125" s="32"/>
      <c r="B125" s="33"/>
      <c r="C125" s="34"/>
      <c r="D125" s="34"/>
      <c r="E125" s="34"/>
      <c r="F125" s="34"/>
      <c r="G125" s="34"/>
      <c r="H125" s="34"/>
      <c r="I125" s="34"/>
      <c r="J125" s="34"/>
      <c r="K125" s="34"/>
      <c r="L125" s="34"/>
      <c r="M125" s="34"/>
      <c r="N125" s="34"/>
      <c r="O125" s="819"/>
    </row>
    <row r="126" spans="1:15" ht="15">
      <c r="A126" s="43" t="s">
        <v>290</v>
      </c>
      <c r="B126" s="44">
        <f aca="true" t="shared" si="76" ref="B126:O126">B123+B124</f>
        <v>0</v>
      </c>
      <c r="C126" s="45">
        <f t="shared" si="76"/>
        <v>0</v>
      </c>
      <c r="D126" s="45">
        <f t="shared" si="76"/>
        <v>510.0001293127689</v>
      </c>
      <c r="E126" s="45">
        <f t="shared" si="76"/>
        <v>1029.8625870449002</v>
      </c>
      <c r="F126" s="45">
        <f t="shared" si="76"/>
        <v>1559.1726835233758</v>
      </c>
      <c r="G126" s="45">
        <f t="shared" si="76"/>
        <v>2097.653238446387</v>
      </c>
      <c r="H126" s="45">
        <f t="shared" si="76"/>
        <v>2115.9882934794923</v>
      </c>
      <c r="I126" s="45">
        <f t="shared" si="76"/>
        <v>2509.7567567411147</v>
      </c>
      <c r="J126" s="45">
        <f t="shared" si="76"/>
        <v>2530.1849785456284</v>
      </c>
      <c r="K126" s="45">
        <f t="shared" si="76"/>
        <v>2550.1310180811142</v>
      </c>
      <c r="L126" s="45">
        <f t="shared" si="76"/>
        <v>2569.8385520638426</v>
      </c>
      <c r="M126" s="45">
        <f t="shared" si="76"/>
        <v>2588.358671988929</v>
      </c>
      <c r="N126" s="45">
        <f>N123+N124</f>
        <v>3050.8512088980333</v>
      </c>
      <c r="O126" s="874">
        <f t="shared" si="76"/>
        <v>3071.3577836538007</v>
      </c>
    </row>
    <row r="127" spans="1:15" ht="15">
      <c r="A127" s="43" t="s">
        <v>69</v>
      </c>
      <c r="B127" s="270">
        <f>B126/(ECO!L$66*1000)</f>
        <v>0</v>
      </c>
      <c r="C127" s="271">
        <f>C126/(ECO!M$66*1000)</f>
        <v>0</v>
      </c>
      <c r="D127" s="271">
        <f>D126/(ECO!N$66*1000)</f>
        <v>3.0773115147945566E-05</v>
      </c>
      <c r="E127" s="271">
        <f>E126/(ECO!O$66*1000)</f>
        <v>5.648019502004712E-05</v>
      </c>
      <c r="F127" s="271">
        <f>F126/(ECO!P$66*1000)</f>
        <v>7.779170096506785E-05</v>
      </c>
      <c r="G127" s="271">
        <f>G126/(ECO!Q$66*1000)</f>
        <v>9.53224450462005E-05</v>
      </c>
      <c r="H127" s="271">
        <f>H126/(ECO!R$66*1000)</f>
        <v>9.071286260983687E-05</v>
      </c>
      <c r="I127" s="271">
        <f>I126/(ECO!S$66*1000)</f>
        <v>0.0001015035842847777</v>
      </c>
      <c r="J127" s="271">
        <f>J126/(ECO!T$66*1000)</f>
        <v>9.653752358634781E-05</v>
      </c>
      <c r="K127" s="271">
        <f>K126/(ECO!U$66*1000)</f>
        <v>9.179108627106579E-05</v>
      </c>
      <c r="L127" s="271">
        <f>L126/(ECO!V$66*1000)</f>
        <v>8.726457750775396E-05</v>
      </c>
      <c r="M127" s="271">
        <f>M126/(ECO!W$66*1000)</f>
        <v>8.291836728906449E-05</v>
      </c>
      <c r="N127" s="271">
        <f>N126/(ECO!X$66*1000)</f>
        <v>9.220223473478556E-05</v>
      </c>
      <c r="O127" s="968">
        <f>O126/(ECO!Y$66*1000)</f>
        <v>8.756790610184073E-05</v>
      </c>
    </row>
    <row r="128" spans="1:15" ht="15">
      <c r="A128" s="969" t="s">
        <v>71</v>
      </c>
      <c r="B128" s="970">
        <f>B126/('GGO (SQ)'!L$24*1000)</f>
        <v>0</v>
      </c>
      <c r="C128" s="964">
        <f>C126/('GGO (SQ)'!M$24*1000)</f>
        <v>0</v>
      </c>
      <c r="D128" s="964">
        <f>D126/('GGO (SQ)'!N$24*1000)</f>
        <v>0.00019619691614742508</v>
      </c>
      <c r="E128" s="964">
        <f>E126/('GGO (SQ)'!O$24*1000)</f>
        <v>0.0003600948436017596</v>
      </c>
      <c r="F128" s="964">
        <f>F126/('GGO (SQ)'!P$24*1000)</f>
        <v>0.0004959683723221604</v>
      </c>
      <c r="G128" s="964">
        <f>G126/('GGO (SQ)'!Q$24*1000)</f>
        <v>0.0006077372949662357</v>
      </c>
      <c r="H128" s="964">
        <f>H126/('GGO (SQ)'!R$24*1000)</f>
        <v>0.0005783484646708973</v>
      </c>
      <c r="I128" s="964">
        <f>I126/('GGO (SQ)'!S$24*1000)</f>
        <v>0.0006471457348026443</v>
      </c>
      <c r="J128" s="964">
        <f>J126/('GGO (SQ)'!T$24*1000)</f>
        <v>0.0006154841435159423</v>
      </c>
      <c r="K128" s="964">
        <f>K126/('GGO (SQ)'!U$24*1000)</f>
        <v>0.0005852227819518511</v>
      </c>
      <c r="L128" s="964">
        <f>L126/('GGO (SQ)'!V$24*1000)</f>
        <v>0.0005563635957431593</v>
      </c>
      <c r="M128" s="964">
        <f>M126/('GGO (SQ)'!W$24*1000)</f>
        <v>0.0005286539200169359</v>
      </c>
      <c r="N128" s="964">
        <f>N126/('GGO (SQ)'!X$24*1000)</f>
        <v>0.0005878440980023307</v>
      </c>
      <c r="O128" s="971">
        <f>O126/('GGO (SQ)'!Y$24*1000)</f>
        <v>0.0005582974959821519</v>
      </c>
    </row>
    <row r="130" spans="1:15" ht="15">
      <c r="A130" s="1136" t="s">
        <v>413</v>
      </c>
      <c r="B130" s="1136"/>
      <c r="C130" s="1136"/>
      <c r="D130" s="1136"/>
      <c r="E130" s="1136"/>
      <c r="F130" s="1136"/>
      <c r="G130" s="1136"/>
      <c r="H130" s="1136"/>
      <c r="I130" s="1136"/>
      <c r="J130" s="1136"/>
      <c r="K130" s="1136"/>
      <c r="L130" s="1136"/>
      <c r="M130" s="1136"/>
      <c r="N130" s="1136"/>
      <c r="O130" s="1136"/>
    </row>
    <row r="131" spans="1:16" ht="14.25" customHeight="1">
      <c r="A131" s="1117" t="s">
        <v>414</v>
      </c>
      <c r="B131" s="1118"/>
      <c r="C131" s="1118"/>
      <c r="D131" s="1118"/>
      <c r="E131" s="1118"/>
      <c r="F131" s="1118"/>
      <c r="G131" s="1118"/>
      <c r="H131" s="1118"/>
      <c r="I131" s="1118"/>
      <c r="J131" s="1118"/>
      <c r="K131" s="1118"/>
      <c r="L131" s="1118"/>
      <c r="M131" s="1118"/>
      <c r="N131" s="1118"/>
      <c r="O131" s="1119"/>
      <c r="P131" s="1113" t="s">
        <v>606</v>
      </c>
    </row>
    <row r="132" spans="1:16" ht="14.25" customHeight="1">
      <c r="A132" s="690"/>
      <c r="B132" s="1135" t="s">
        <v>340</v>
      </c>
      <c r="C132" s="1135"/>
      <c r="D132" s="1135"/>
      <c r="E132" s="1135"/>
      <c r="F132" s="1135"/>
      <c r="G132" s="639">
        <v>60</v>
      </c>
      <c r="H132" s="916"/>
      <c r="I132" s="1002"/>
      <c r="J132" s="1002"/>
      <c r="K132" s="1002"/>
      <c r="L132" s="1002"/>
      <c r="M132" s="1002"/>
      <c r="N132" s="1002"/>
      <c r="O132" s="691"/>
      <c r="P132" s="1113"/>
    </row>
    <row r="133" spans="1:16" ht="15">
      <c r="A133" s="30" t="s">
        <v>386</v>
      </c>
      <c r="B133" s="368">
        <f>ECO!L39*50%</f>
        <v>1898.8286499999997</v>
      </c>
      <c r="C133" s="369">
        <f>ECO!M39*50%</f>
        <v>1923.1549349999998</v>
      </c>
      <c r="D133" s="369">
        <f>ECO!N39*50%</f>
        <v>1945.9915199999998</v>
      </c>
      <c r="E133" s="369">
        <f>ECO!O39*50%</f>
        <v>1968.0148</v>
      </c>
      <c r="F133" s="369">
        <f>ECO!P39*50%</f>
        <v>1989.90525</v>
      </c>
      <c r="G133" s="369">
        <f>ECO!Q39*50%</f>
        <v>2011.82793</v>
      </c>
      <c r="H133" s="369">
        <f>ECO!R39*50%</f>
        <v>2033.6619599999997</v>
      </c>
      <c r="I133" s="369">
        <f>ECO!S39*50%</f>
        <v>2055.493065</v>
      </c>
      <c r="J133" s="369">
        <f>ECO!T39*50%</f>
        <v>2077.1405699999996</v>
      </c>
      <c r="K133" s="369">
        <f>ECO!U39*50%</f>
        <v>2098.09525</v>
      </c>
      <c r="L133" s="369">
        <f>ECO!V39*50%</f>
        <v>2118.03464</v>
      </c>
      <c r="M133" s="369">
        <f>ECO!W39*50%</f>
        <v>2137.16412</v>
      </c>
      <c r="N133" s="369">
        <f>ECO!X39*50%</f>
        <v>2155.28918</v>
      </c>
      <c r="O133" s="818">
        <f>ECO!Y39*50%</f>
        <v>2172.48989</v>
      </c>
      <c r="P133" s="1113"/>
    </row>
    <row r="134" spans="1:16" s="35" customFormat="1" ht="15">
      <c r="A134" s="32" t="s">
        <v>74</v>
      </c>
      <c r="B134" s="370">
        <v>0</v>
      </c>
      <c r="C134" s="371">
        <v>0</v>
      </c>
      <c r="D134" s="371">
        <v>0</v>
      </c>
      <c r="E134" s="371">
        <v>0</v>
      </c>
      <c r="F134" s="371">
        <v>0</v>
      </c>
      <c r="G134" s="371">
        <v>0</v>
      </c>
      <c r="H134" s="371">
        <v>0</v>
      </c>
      <c r="I134" s="371">
        <v>0</v>
      </c>
      <c r="J134" s="371">
        <v>0.25</v>
      </c>
      <c r="K134" s="371">
        <v>0.5</v>
      </c>
      <c r="L134" s="371">
        <v>0.75</v>
      </c>
      <c r="M134" s="371">
        <v>1</v>
      </c>
      <c r="N134" s="371">
        <v>1</v>
      </c>
      <c r="O134" s="870">
        <v>1</v>
      </c>
      <c r="P134" s="1113"/>
    </row>
    <row r="135" spans="1:16" s="35" customFormat="1" ht="15">
      <c r="A135" s="32" t="s">
        <v>70</v>
      </c>
      <c r="B135" s="368">
        <f>B133*B134</f>
        <v>0</v>
      </c>
      <c r="C135" s="369">
        <f aca="true" t="shared" si="77" ref="C135:O135">C133*C134</f>
        <v>0</v>
      </c>
      <c r="D135" s="369">
        <f t="shared" si="77"/>
        <v>0</v>
      </c>
      <c r="E135" s="369">
        <f t="shared" si="77"/>
        <v>0</v>
      </c>
      <c r="F135" s="369">
        <f t="shared" si="77"/>
        <v>0</v>
      </c>
      <c r="G135" s="369">
        <f t="shared" si="77"/>
        <v>0</v>
      </c>
      <c r="H135" s="369">
        <f t="shared" si="77"/>
        <v>0</v>
      </c>
      <c r="I135" s="369">
        <f t="shared" si="77"/>
        <v>0</v>
      </c>
      <c r="J135" s="369">
        <f t="shared" si="77"/>
        <v>519.2851424999999</v>
      </c>
      <c r="K135" s="369">
        <f t="shared" si="77"/>
        <v>1049.047625</v>
      </c>
      <c r="L135" s="369">
        <f t="shared" si="77"/>
        <v>1588.52598</v>
      </c>
      <c r="M135" s="369">
        <f t="shared" si="77"/>
        <v>2137.16412</v>
      </c>
      <c r="N135" s="369">
        <f t="shared" si="77"/>
        <v>2155.28918</v>
      </c>
      <c r="O135" s="818">
        <f t="shared" si="77"/>
        <v>2172.48989</v>
      </c>
      <c r="P135" s="1113"/>
    </row>
    <row r="136" spans="1:16" s="35" customFormat="1" ht="15">
      <c r="A136" s="32"/>
      <c r="B136" s="368"/>
      <c r="C136" s="369"/>
      <c r="D136" s="369"/>
      <c r="E136" s="369"/>
      <c r="F136" s="369"/>
      <c r="G136" s="369"/>
      <c r="H136" s="369"/>
      <c r="I136" s="369"/>
      <c r="J136" s="369"/>
      <c r="K136" s="369"/>
      <c r="L136" s="369"/>
      <c r="M136" s="369"/>
      <c r="N136" s="369"/>
      <c r="O136" s="818"/>
      <c r="P136" s="1113"/>
    </row>
    <row r="137" spans="1:16" s="35" customFormat="1" ht="15">
      <c r="A137" s="692" t="s">
        <v>343</v>
      </c>
      <c r="B137" s="368"/>
      <c r="C137" s="369"/>
      <c r="D137" s="369"/>
      <c r="E137" s="369"/>
      <c r="F137" s="369"/>
      <c r="G137" s="369"/>
      <c r="H137" s="369"/>
      <c r="I137" s="369"/>
      <c r="J137" s="369"/>
      <c r="K137" s="369"/>
      <c r="L137" s="369"/>
      <c r="M137" s="369"/>
      <c r="N137" s="369"/>
      <c r="O137" s="818"/>
      <c r="P137" s="1113"/>
    </row>
    <row r="138" spans="1:16" s="35" customFormat="1" ht="15">
      <c r="A138" s="32" t="s">
        <v>341</v>
      </c>
      <c r="B138" s="368">
        <f>ECO!L79*$G$132</f>
        <v>12600</v>
      </c>
      <c r="C138" s="369">
        <f>ECO!M79*$G$132</f>
        <v>13430.668621042103</v>
      </c>
      <c r="D138" s="369">
        <f>ECO!N79*$G$132</f>
        <v>14492.609480930014</v>
      </c>
      <c r="E138" s="369">
        <f>ECO!O79*$G$132</f>
        <v>15485.961188924264</v>
      </c>
      <c r="F138" s="369">
        <f>ECO!P79*$G$132</f>
        <v>16689.2584122726</v>
      </c>
      <c r="G138" s="369">
        <f>ECO!Q79*$G$132</f>
        <v>17869.453830171955</v>
      </c>
      <c r="H138" s="369">
        <f>ECO!R79*$G$132</f>
        <v>19135.164410166442</v>
      </c>
      <c r="I138" s="369">
        <f>ECO!S79*$G$132</f>
        <v>20491.836238703367</v>
      </c>
      <c r="J138" s="369">
        <f>ECO!T79*$G$132</f>
        <v>21947.863714849896</v>
      </c>
      <c r="K138" s="369">
        <f>ECO!U79*$G$132</f>
        <v>23516.125195529337</v>
      </c>
      <c r="L138" s="369">
        <f>ECO!V79*$G$132</f>
        <v>25209.24282818648</v>
      </c>
      <c r="M138" s="369">
        <f>ECO!W79*$G$132</f>
        <v>27035.02122882286</v>
      </c>
      <c r="N138" s="369">
        <f>ECO!X79*$G$132</f>
        <v>29006.73763078834</v>
      </c>
      <c r="O138" s="818">
        <f>ECO!Y79*$G$132</f>
        <v>31135.40871747488</v>
      </c>
      <c r="P138" s="1113"/>
    </row>
    <row r="139" spans="1:16" s="35" customFormat="1" ht="15">
      <c r="A139" s="32" t="s">
        <v>345</v>
      </c>
      <c r="B139" s="368">
        <f>B135*B138/1000</f>
        <v>0</v>
      </c>
      <c r="C139" s="369">
        <f aca="true" t="shared" si="78" ref="C139:H139">C135*C138/1000</f>
        <v>0</v>
      </c>
      <c r="D139" s="369">
        <f t="shared" si="78"/>
        <v>0</v>
      </c>
      <c r="E139" s="369">
        <f t="shared" si="78"/>
        <v>0</v>
      </c>
      <c r="F139" s="369">
        <f t="shared" si="78"/>
        <v>0</v>
      </c>
      <c r="G139" s="369">
        <f t="shared" si="78"/>
        <v>0</v>
      </c>
      <c r="H139" s="369">
        <f t="shared" si="78"/>
        <v>0</v>
      </c>
      <c r="I139" s="369">
        <f>I135*I138/1000</f>
        <v>0</v>
      </c>
      <c r="J139" s="369">
        <f aca="true" t="shared" si="79" ref="J139:O139">J135*J138/1000</f>
        <v>11397.199536736407</v>
      </c>
      <c r="K139" s="369">
        <f t="shared" si="79"/>
        <v>24669.53528557271</v>
      </c>
      <c r="L139" s="369">
        <f t="shared" si="79"/>
        <v>40045.537168702904</v>
      </c>
      <c r="M139" s="369">
        <f t="shared" si="79"/>
        <v>57778.277353678524</v>
      </c>
      <c r="N139" s="369">
        <f t="shared" si="79"/>
        <v>62517.90776273695</v>
      </c>
      <c r="O139" s="818">
        <f t="shared" si="79"/>
        <v>67641.36065973203</v>
      </c>
      <c r="P139" s="1113"/>
    </row>
    <row r="140" spans="1:16" s="35" customFormat="1" ht="15">
      <c r="A140" s="32"/>
      <c r="B140" s="368"/>
      <c r="C140" s="369"/>
      <c r="D140" s="369"/>
      <c r="E140" s="369"/>
      <c r="F140" s="369"/>
      <c r="G140" s="369"/>
      <c r="H140" s="369"/>
      <c r="I140" s="369"/>
      <c r="J140" s="369"/>
      <c r="K140" s="369"/>
      <c r="L140" s="369"/>
      <c r="M140" s="369"/>
      <c r="N140" s="369"/>
      <c r="O140" s="818"/>
      <c r="P140" s="1113"/>
    </row>
    <row r="141" spans="1:16" s="35" customFormat="1" ht="15">
      <c r="A141" s="692" t="s">
        <v>346</v>
      </c>
      <c r="B141" s="368"/>
      <c r="C141" s="369"/>
      <c r="D141" s="369"/>
      <c r="E141" s="369"/>
      <c r="F141" s="369"/>
      <c r="G141" s="369"/>
      <c r="H141" s="369"/>
      <c r="I141" s="369"/>
      <c r="J141" s="369"/>
      <c r="K141" s="369"/>
      <c r="L141" s="369"/>
      <c r="M141" s="369"/>
      <c r="N141" s="369"/>
      <c r="O141" s="818"/>
      <c r="P141" s="1113"/>
    </row>
    <row r="142" spans="1:16" s="35" customFormat="1" ht="15">
      <c r="A142" s="32" t="s">
        <v>347</v>
      </c>
      <c r="B142" s="368">
        <f>11%*ECO!L79*$G$132</f>
        <v>1386</v>
      </c>
      <c r="C142" s="369">
        <f>11%*ECO!M79*$G$132</f>
        <v>1477.3735483146313</v>
      </c>
      <c r="D142" s="369">
        <f>11%*ECO!N79*$G$132</f>
        <v>1594.1870429023015</v>
      </c>
      <c r="E142" s="369">
        <f>11%*ECO!O79*$G$132</f>
        <v>1703.4557307816692</v>
      </c>
      <c r="F142" s="369">
        <f>11%*ECO!P79*$G$132</f>
        <v>1835.818425349986</v>
      </c>
      <c r="G142" s="369">
        <f>11%*ECO!Q79*$G$132</f>
        <v>1965.6399213189152</v>
      </c>
      <c r="H142" s="369">
        <f>11%*ECO!R79*$G$132</f>
        <v>2104.8680851183085</v>
      </c>
      <c r="I142" s="369">
        <f>11%*ECO!S79*$G$132</f>
        <v>2254.1019862573703</v>
      </c>
      <c r="J142" s="369">
        <f>11%*ECO!T79*$G$132</f>
        <v>2414.265008633489</v>
      </c>
      <c r="K142" s="369">
        <f>11%*ECO!U79*$G$132</f>
        <v>2586.773771508227</v>
      </c>
      <c r="L142" s="369">
        <f>11%*ECO!V79*$G$132</f>
        <v>2773.016711100513</v>
      </c>
      <c r="M142" s="369">
        <f>11%*ECO!W79*$G$132</f>
        <v>2973.8523351705144</v>
      </c>
      <c r="N142" s="369">
        <f>11%*ECO!X79*$G$132</f>
        <v>3190.7411393867174</v>
      </c>
      <c r="O142" s="818">
        <f>11%*ECO!Y79*$G$132</f>
        <v>3424.8949589222366</v>
      </c>
      <c r="P142" s="1113"/>
    </row>
    <row r="143" spans="1:16" s="35" customFormat="1" ht="15">
      <c r="A143" s="32" t="s">
        <v>348</v>
      </c>
      <c r="B143" s="368">
        <f>2400*(60/5/4/12)</f>
        <v>600</v>
      </c>
      <c r="C143" s="369">
        <f aca="true" t="shared" si="80" ref="C143:O143">2400*(60/5/4/12)</f>
        <v>600</v>
      </c>
      <c r="D143" s="369">
        <f t="shared" si="80"/>
        <v>600</v>
      </c>
      <c r="E143" s="369">
        <f t="shared" si="80"/>
        <v>600</v>
      </c>
      <c r="F143" s="369">
        <f t="shared" si="80"/>
        <v>600</v>
      </c>
      <c r="G143" s="369">
        <f t="shared" si="80"/>
        <v>600</v>
      </c>
      <c r="H143" s="369">
        <f t="shared" si="80"/>
        <v>600</v>
      </c>
      <c r="I143" s="369">
        <f t="shared" si="80"/>
        <v>600</v>
      </c>
      <c r="J143" s="369">
        <f t="shared" si="80"/>
        <v>600</v>
      </c>
      <c r="K143" s="369">
        <f t="shared" si="80"/>
        <v>600</v>
      </c>
      <c r="L143" s="369">
        <f t="shared" si="80"/>
        <v>600</v>
      </c>
      <c r="M143" s="369">
        <f t="shared" si="80"/>
        <v>600</v>
      </c>
      <c r="N143" s="369">
        <f t="shared" si="80"/>
        <v>600</v>
      </c>
      <c r="O143" s="818">
        <f t="shared" si="80"/>
        <v>600</v>
      </c>
      <c r="P143" s="1113"/>
    </row>
    <row r="144" spans="1:16" s="35" customFormat="1" ht="15">
      <c r="A144" s="32" t="s">
        <v>350</v>
      </c>
      <c r="B144" s="368">
        <f aca="true" t="shared" si="81" ref="B144:O144">(B142+B143)*B135/1000</f>
        <v>0</v>
      </c>
      <c r="C144" s="369">
        <f t="shared" si="81"/>
        <v>0</v>
      </c>
      <c r="D144" s="369">
        <f t="shared" si="81"/>
        <v>0</v>
      </c>
      <c r="E144" s="369">
        <f t="shared" si="81"/>
        <v>0</v>
      </c>
      <c r="F144" s="369">
        <f t="shared" si="81"/>
        <v>0</v>
      </c>
      <c r="G144" s="369">
        <f t="shared" si="81"/>
        <v>0</v>
      </c>
      <c r="H144" s="369">
        <f t="shared" si="81"/>
        <v>0</v>
      </c>
      <c r="I144" s="369">
        <f t="shared" si="81"/>
        <v>0</v>
      </c>
      <c r="J144" s="369">
        <f>(J142+J143)*J135/1000</f>
        <v>1565.2630345410046</v>
      </c>
      <c r="K144" s="369">
        <f t="shared" si="81"/>
        <v>3343.077456412998</v>
      </c>
      <c r="L144" s="369">
        <f t="shared" si="81"/>
        <v>5358.12467655732</v>
      </c>
      <c r="M144" s="369">
        <f t="shared" si="81"/>
        <v>7637.908980904637</v>
      </c>
      <c r="N144" s="369">
        <f t="shared" si="81"/>
        <v>8170.143361901064</v>
      </c>
      <c r="O144" s="818">
        <f t="shared" si="81"/>
        <v>8744.043606570523</v>
      </c>
      <c r="P144" s="1113"/>
    </row>
    <row r="145" spans="1:16" s="35" customFormat="1" ht="15">
      <c r="A145" s="32"/>
      <c r="B145" s="368"/>
      <c r="C145" s="369"/>
      <c r="D145" s="369"/>
      <c r="E145" s="369"/>
      <c r="F145" s="369"/>
      <c r="G145" s="369"/>
      <c r="H145" s="369"/>
      <c r="I145" s="369"/>
      <c r="J145" s="369"/>
      <c r="K145" s="369"/>
      <c r="L145" s="369"/>
      <c r="M145" s="369"/>
      <c r="N145" s="369"/>
      <c r="O145" s="818"/>
      <c r="P145" s="1113"/>
    </row>
    <row r="146" spans="1:16" s="35" customFormat="1" ht="15">
      <c r="A146" s="32" t="s">
        <v>389</v>
      </c>
      <c r="B146" s="368">
        <f>B138+B142+B143</f>
        <v>14586</v>
      </c>
      <c r="C146" s="369">
        <f aca="true" t="shared" si="82" ref="C146:N146">C138+C142+C143</f>
        <v>15508.042169356735</v>
      </c>
      <c r="D146" s="369">
        <f t="shared" si="82"/>
        <v>16686.796523832316</v>
      </c>
      <c r="E146" s="369">
        <f t="shared" si="82"/>
        <v>17789.416919705935</v>
      </c>
      <c r="F146" s="369">
        <f t="shared" si="82"/>
        <v>19125.076837622586</v>
      </c>
      <c r="G146" s="369">
        <f t="shared" si="82"/>
        <v>20435.09375149087</v>
      </c>
      <c r="H146" s="369">
        <f t="shared" si="82"/>
        <v>21840.03249528475</v>
      </c>
      <c r="I146" s="369">
        <f t="shared" si="82"/>
        <v>23345.938224960737</v>
      </c>
      <c r="J146" s="369">
        <f t="shared" si="82"/>
        <v>24962.128723483387</v>
      </c>
      <c r="K146" s="369">
        <f t="shared" si="82"/>
        <v>26702.898967037563</v>
      </c>
      <c r="L146" s="369">
        <f t="shared" si="82"/>
        <v>28582.259539286995</v>
      </c>
      <c r="M146" s="369">
        <f t="shared" si="82"/>
        <v>30608.873563993377</v>
      </c>
      <c r="N146" s="369">
        <f t="shared" si="82"/>
        <v>32797.47877017506</v>
      </c>
      <c r="O146" s="818">
        <f>O138+O142+O143</f>
        <v>35160.30367639712</v>
      </c>
      <c r="P146" s="1113"/>
    </row>
    <row r="147" spans="1:16" s="35" customFormat="1" ht="15">
      <c r="A147" s="32" t="s">
        <v>349</v>
      </c>
      <c r="B147" s="368">
        <f>B139+B144</f>
        <v>0</v>
      </c>
      <c r="C147" s="369">
        <f aca="true" t="shared" si="83" ref="C147:H147">C139+C144</f>
        <v>0</v>
      </c>
      <c r="D147" s="369">
        <f t="shared" si="83"/>
        <v>0</v>
      </c>
      <c r="E147" s="369">
        <f t="shared" si="83"/>
        <v>0</v>
      </c>
      <c r="F147" s="369">
        <f t="shared" si="83"/>
        <v>0</v>
      </c>
      <c r="G147" s="369">
        <f t="shared" si="83"/>
        <v>0</v>
      </c>
      <c r="H147" s="369">
        <f t="shared" si="83"/>
        <v>0</v>
      </c>
      <c r="I147" s="369">
        <f>I139+I144</f>
        <v>0</v>
      </c>
      <c r="J147" s="369">
        <f aca="true" t="shared" si="84" ref="J147:N147">J139+J144</f>
        <v>12962.462571277412</v>
      </c>
      <c r="K147" s="369">
        <f t="shared" si="84"/>
        <v>28012.612741985708</v>
      </c>
      <c r="L147" s="369">
        <f t="shared" si="84"/>
        <v>45403.66184526023</v>
      </c>
      <c r="M147" s="369">
        <f t="shared" si="84"/>
        <v>65416.18633458316</v>
      </c>
      <c r="N147" s="369">
        <f t="shared" si="84"/>
        <v>70688.051124638</v>
      </c>
      <c r="O147" s="818">
        <f>O139+O144</f>
        <v>76385.40426630256</v>
      </c>
      <c r="P147" s="1113"/>
    </row>
    <row r="148" spans="1:16" s="35" customFormat="1" ht="15">
      <c r="A148" s="32" t="s">
        <v>342</v>
      </c>
      <c r="B148" s="368">
        <f>25%*B147</f>
        <v>0</v>
      </c>
      <c r="C148" s="369">
        <f>25%*C147</f>
        <v>0</v>
      </c>
      <c r="D148" s="369">
        <f aca="true" t="shared" si="85" ref="D148:O148">25%*D147</f>
        <v>0</v>
      </c>
      <c r="E148" s="369">
        <f t="shared" si="85"/>
        <v>0</v>
      </c>
      <c r="F148" s="369">
        <f t="shared" si="85"/>
        <v>0</v>
      </c>
      <c r="G148" s="369">
        <f t="shared" si="85"/>
        <v>0</v>
      </c>
      <c r="H148" s="369">
        <f t="shared" si="85"/>
        <v>0</v>
      </c>
      <c r="I148" s="369">
        <f t="shared" si="85"/>
        <v>0</v>
      </c>
      <c r="J148" s="369">
        <f t="shared" si="85"/>
        <v>3240.615642819353</v>
      </c>
      <c r="K148" s="369">
        <f t="shared" si="85"/>
        <v>7003.153185496427</v>
      </c>
      <c r="L148" s="369">
        <f t="shared" si="85"/>
        <v>11350.915461315057</v>
      </c>
      <c r="M148" s="369">
        <f t="shared" si="85"/>
        <v>16354.04658364579</v>
      </c>
      <c r="N148" s="369">
        <f t="shared" si="85"/>
        <v>17672.0127811595</v>
      </c>
      <c r="O148" s="818">
        <f t="shared" si="85"/>
        <v>19096.35106657564</v>
      </c>
      <c r="P148" s="1113"/>
    </row>
    <row r="149" spans="1:16" s="35" customFormat="1" ht="15">
      <c r="A149" s="32"/>
      <c r="B149" s="368"/>
      <c r="C149" s="369"/>
      <c r="D149" s="369"/>
      <c r="E149" s="369"/>
      <c r="F149" s="369"/>
      <c r="G149" s="369"/>
      <c r="H149" s="369"/>
      <c r="I149" s="369"/>
      <c r="J149" s="369"/>
      <c r="K149" s="369"/>
      <c r="L149" s="369"/>
      <c r="M149" s="369"/>
      <c r="N149" s="369"/>
      <c r="O149" s="818"/>
      <c r="P149" s="1113"/>
    </row>
    <row r="150" spans="1:16" s="35" customFormat="1" ht="15">
      <c r="A150" s="43" t="s">
        <v>527</v>
      </c>
      <c r="B150" s="44">
        <f>B147+B148</f>
        <v>0</v>
      </c>
      <c r="C150" s="45">
        <f aca="true" t="shared" si="86" ref="C150:O150">C147+C148</f>
        <v>0</v>
      </c>
      <c r="D150" s="45">
        <f t="shared" si="86"/>
        <v>0</v>
      </c>
      <c r="E150" s="45">
        <f t="shared" si="86"/>
        <v>0</v>
      </c>
      <c r="F150" s="45">
        <f t="shared" si="86"/>
        <v>0</v>
      </c>
      <c r="G150" s="45">
        <f t="shared" si="86"/>
        <v>0</v>
      </c>
      <c r="H150" s="45">
        <f t="shared" si="86"/>
        <v>0</v>
      </c>
      <c r="I150" s="45">
        <f t="shared" si="86"/>
        <v>0</v>
      </c>
      <c r="J150" s="45">
        <f t="shared" si="86"/>
        <v>16203.078214096766</v>
      </c>
      <c r="K150" s="45">
        <f t="shared" si="86"/>
        <v>35015.765927482134</v>
      </c>
      <c r="L150" s="45">
        <f t="shared" si="86"/>
        <v>56754.57730657529</v>
      </c>
      <c r="M150" s="45">
        <f t="shared" si="86"/>
        <v>81770.23291822895</v>
      </c>
      <c r="N150" s="45">
        <f t="shared" si="86"/>
        <v>88360.0639057975</v>
      </c>
      <c r="O150" s="874">
        <f t="shared" si="86"/>
        <v>95481.75533287821</v>
      </c>
      <c r="P150" s="1113"/>
    </row>
    <row r="151" spans="1:16" s="35" customFormat="1" ht="15">
      <c r="A151" s="43" t="s">
        <v>69</v>
      </c>
      <c r="B151" s="270">
        <f>B150/(ECO!L$66*1000)</f>
        <v>0</v>
      </c>
      <c r="C151" s="271">
        <f>C150/(ECO!M$66*1000)</f>
        <v>0</v>
      </c>
      <c r="D151" s="271">
        <f>D150/(ECO!N$66*1000)</f>
        <v>0</v>
      </c>
      <c r="E151" s="271">
        <f>E150/(ECO!O$66*1000)</f>
        <v>0</v>
      </c>
      <c r="F151" s="271">
        <f>F150/(ECO!P$66*1000)</f>
        <v>0</v>
      </c>
      <c r="G151" s="271">
        <f>G150/(ECO!Q$66*1000)</f>
        <v>0</v>
      </c>
      <c r="H151" s="271">
        <f>H150/(ECO!R$66*1000)</f>
        <v>0</v>
      </c>
      <c r="I151" s="271">
        <f>I150/(ECO!S$66*1000)</f>
        <v>0</v>
      </c>
      <c r="J151" s="271">
        <f>J150/(ECO!T$66*1000)</f>
        <v>0.000618217663344094</v>
      </c>
      <c r="K151" s="271">
        <f>K150/(ECO!U$66*1000)</f>
        <v>0.001260380415087647</v>
      </c>
      <c r="L151" s="271">
        <f>L150/(ECO!V$66*1000)</f>
        <v>0.0019272277654609697</v>
      </c>
      <c r="M151" s="271">
        <f>M150/(ECO!W$66*1000)</f>
        <v>0.002619518801548482</v>
      </c>
      <c r="N151" s="271">
        <f>N150/(ECO!X$66*1000)</f>
        <v>0.002670400749030854</v>
      </c>
      <c r="O151" s="968">
        <f>O150/(ECO!Y$66*1000)</f>
        <v>0.0027222935178465896</v>
      </c>
      <c r="P151" s="1113"/>
    </row>
    <row r="152" spans="1:16" s="35" customFormat="1" ht="15">
      <c r="A152" s="43" t="s">
        <v>71</v>
      </c>
      <c r="B152" s="270">
        <f>B150/('GGO (SQ)'!L$24*1000)</f>
        <v>0</v>
      </c>
      <c r="C152" s="271">
        <f>C150/('GGO (SQ)'!M$24*1000)</f>
        <v>0</v>
      </c>
      <c r="D152" s="271">
        <f>D150/('GGO (SQ)'!N$24*1000)</f>
        <v>0</v>
      </c>
      <c r="E152" s="271">
        <f>E150/('GGO (SQ)'!O$24*1000)</f>
        <v>0</v>
      </c>
      <c r="F152" s="271">
        <f>F150/('GGO (SQ)'!P$24*1000)</f>
        <v>0</v>
      </c>
      <c r="G152" s="271">
        <f>G150/('GGO (SQ)'!Q$24*1000)</f>
        <v>0</v>
      </c>
      <c r="H152" s="271">
        <f>H150/('GGO (SQ)'!R$24*1000)</f>
        <v>0</v>
      </c>
      <c r="I152" s="271">
        <f>I150/('GGO (SQ)'!S$24*1000)</f>
        <v>0</v>
      </c>
      <c r="J152" s="271">
        <f>J150/('GGO (SQ)'!T$24*1000)</f>
        <v>0.003941505384581639</v>
      </c>
      <c r="K152" s="271">
        <f>K150/('GGO (SQ)'!U$24*1000)</f>
        <v>0.008035674952762025</v>
      </c>
      <c r="L152" s="271">
        <f>L150/('GGO (SQ)'!V$24*1000)</f>
        <v>0.012287223522197703</v>
      </c>
      <c r="M152" s="271">
        <f>M150/('GGO (SQ)'!W$24*1000)</f>
        <v>0.01670099072463653</v>
      </c>
      <c r="N152" s="271">
        <f>N150/('GGO (SQ)'!X$24*1000)</f>
        <v>0.017025393409760305</v>
      </c>
      <c r="O152" s="968">
        <f>O150/('GGO (SQ)'!Y$24*1000)</f>
        <v>0.017356240682226912</v>
      </c>
      <c r="P152" s="1113"/>
    </row>
    <row r="153" spans="1:16" s="35" customFormat="1" ht="15">
      <c r="A153" s="32"/>
      <c r="B153" s="368"/>
      <c r="C153" s="369"/>
      <c r="D153" s="369"/>
      <c r="E153" s="369"/>
      <c r="F153" s="369"/>
      <c r="G153" s="369"/>
      <c r="H153" s="369"/>
      <c r="I153" s="369"/>
      <c r="J153" s="369"/>
      <c r="K153" s="369"/>
      <c r="L153" s="369"/>
      <c r="M153" s="369"/>
      <c r="N153" s="369"/>
      <c r="O153" s="818"/>
      <c r="P153" s="1113"/>
    </row>
    <row r="154" spans="1:16" s="35" customFormat="1" ht="15">
      <c r="A154" s="692" t="s">
        <v>344</v>
      </c>
      <c r="B154" s="368"/>
      <c r="C154" s="369"/>
      <c r="D154" s="369"/>
      <c r="E154" s="369"/>
      <c r="F154" s="369"/>
      <c r="G154" s="369"/>
      <c r="H154" s="369"/>
      <c r="I154" s="369"/>
      <c r="J154" s="369"/>
      <c r="K154" s="369"/>
      <c r="L154" s="369"/>
      <c r="M154" s="369"/>
      <c r="N154" s="369"/>
      <c r="O154" s="818"/>
      <c r="P154" s="1113"/>
    </row>
    <row r="155" spans="1:16" s="35" customFormat="1" ht="15">
      <c r="A155" s="32" t="s">
        <v>341</v>
      </c>
      <c r="B155" s="368">
        <f>ECO!L80*$G$132</f>
        <v>28860</v>
      </c>
      <c r="C155" s="369">
        <f>ECO!M80*$G$132</f>
        <v>30762.626698672622</v>
      </c>
      <c r="D155" s="369">
        <f>ECO!N80*$G$132</f>
        <v>33194.976953939695</v>
      </c>
      <c r="E155" s="369">
        <f>ECO!O80*$G$132</f>
        <v>35470.22538986938</v>
      </c>
      <c r="F155" s="369">
        <f>ECO!P80*$G$132</f>
        <v>38226.349030014855</v>
      </c>
      <c r="G155" s="369">
        <f>ECO!Q80*$G$132</f>
        <v>40929.55853482242</v>
      </c>
      <c r="H155" s="369">
        <f>ECO!R80*$G$132</f>
        <v>43828.63848233361</v>
      </c>
      <c r="I155" s="369">
        <f>ECO!S80*$G$132</f>
        <v>46936.063003887226</v>
      </c>
      <c r="J155" s="369">
        <f>ECO!T80*$G$132</f>
        <v>50271.059270679994</v>
      </c>
      <c r="K155" s="369">
        <f>ECO!U80*$G$132</f>
        <v>53863.124852617184</v>
      </c>
      <c r="L155" s="369">
        <f>ECO!V80*$G$132</f>
        <v>57741.17047789379</v>
      </c>
      <c r="M155" s="369">
        <f>ECO!W80*$G$132</f>
        <v>61923.07243363711</v>
      </c>
      <c r="N155" s="369">
        <f>ECO!X80*$G$132</f>
        <v>66439.2419067104</v>
      </c>
      <c r="O155" s="818">
        <f>ECO!Y80*$G$132</f>
        <v>71314.91234812101</v>
      </c>
      <c r="P155" s="1113"/>
    </row>
    <row r="156" spans="1:16" s="35" customFormat="1" ht="15">
      <c r="A156" s="32" t="s">
        <v>345</v>
      </c>
      <c r="B156" s="368">
        <f aca="true" t="shared" si="87" ref="B156:O156">B135*B155/1000</f>
        <v>0</v>
      </c>
      <c r="C156" s="369">
        <f t="shared" si="87"/>
        <v>0</v>
      </c>
      <c r="D156" s="369">
        <f t="shared" si="87"/>
        <v>0</v>
      </c>
      <c r="E156" s="369">
        <f t="shared" si="87"/>
        <v>0</v>
      </c>
      <c r="F156" s="369">
        <f t="shared" si="87"/>
        <v>0</v>
      </c>
      <c r="G156" s="369">
        <f t="shared" si="87"/>
        <v>0</v>
      </c>
      <c r="H156" s="369">
        <f t="shared" si="87"/>
        <v>0</v>
      </c>
      <c r="I156" s="369">
        <f t="shared" si="87"/>
        <v>0</v>
      </c>
      <c r="J156" s="369">
        <f t="shared" si="87"/>
        <v>26105.014177001</v>
      </c>
      <c r="K156" s="369">
        <f t="shared" si="87"/>
        <v>56504.983201716524</v>
      </c>
      <c r="L156" s="369">
        <f t="shared" si="87"/>
        <v>91723.3494197433</v>
      </c>
      <c r="M156" s="369">
        <f t="shared" si="87"/>
        <v>132339.76860533032</v>
      </c>
      <c r="N156" s="369">
        <f t="shared" si="87"/>
        <v>143195.77920893554</v>
      </c>
      <c r="O156" s="818">
        <f t="shared" si="87"/>
        <v>154930.92608252904</v>
      </c>
      <c r="P156" s="1113"/>
    </row>
    <row r="157" spans="1:16" s="35" customFormat="1" ht="15">
      <c r="A157" s="32"/>
      <c r="B157" s="368"/>
      <c r="C157" s="369"/>
      <c r="D157" s="369"/>
      <c r="E157" s="369"/>
      <c r="F157" s="369"/>
      <c r="G157" s="369"/>
      <c r="H157" s="369"/>
      <c r="I157" s="369"/>
      <c r="J157" s="369"/>
      <c r="K157" s="369"/>
      <c r="L157" s="369"/>
      <c r="M157" s="369"/>
      <c r="N157" s="369"/>
      <c r="O157" s="818"/>
      <c r="P157" s="21"/>
    </row>
    <row r="158" spans="1:16" s="35" customFormat="1" ht="15">
      <c r="A158" s="692" t="s">
        <v>346</v>
      </c>
      <c r="B158" s="368"/>
      <c r="C158" s="369"/>
      <c r="D158" s="369"/>
      <c r="E158" s="369"/>
      <c r="F158" s="369"/>
      <c r="G158" s="369"/>
      <c r="H158" s="369"/>
      <c r="I158" s="369"/>
      <c r="J158" s="369"/>
      <c r="K158" s="369"/>
      <c r="L158" s="369"/>
      <c r="M158" s="369"/>
      <c r="N158" s="369"/>
      <c r="O158" s="818"/>
      <c r="P158" s="21"/>
    </row>
    <row r="159" spans="1:16" s="35" customFormat="1" ht="15">
      <c r="A159" s="32" t="s">
        <v>347</v>
      </c>
      <c r="B159" s="368">
        <f>11%*ECO!L80*$G$132</f>
        <v>3174.6000000000004</v>
      </c>
      <c r="C159" s="369">
        <f>11%*ECO!M80*$G$132</f>
        <v>3383.8889368539885</v>
      </c>
      <c r="D159" s="369">
        <f>11%*ECO!N80*$G$132</f>
        <v>3651.447464933366</v>
      </c>
      <c r="E159" s="369">
        <f>11%*ECO!O80*$G$132</f>
        <v>3901.724792885632</v>
      </c>
      <c r="F159" s="369">
        <f>11%*ECO!P80*$G$132</f>
        <v>4204.898393301634</v>
      </c>
      <c r="G159" s="369">
        <f>11%*ECO!Q80*$G$132</f>
        <v>4502.251438830466</v>
      </c>
      <c r="H159" s="369">
        <f>11%*ECO!R80*$G$132</f>
        <v>4821.150233056697</v>
      </c>
      <c r="I159" s="369">
        <f>11%*ECO!S80*$G$132</f>
        <v>5162.966930427595</v>
      </c>
      <c r="J159" s="369">
        <f>11%*ECO!T80*$G$132</f>
        <v>5529.8165197748</v>
      </c>
      <c r="K159" s="369">
        <f>11%*ECO!U80*$G$132</f>
        <v>5924.94373378789</v>
      </c>
      <c r="L159" s="369">
        <f>11%*ECO!V80*$G$132</f>
        <v>6351.528752568318</v>
      </c>
      <c r="M159" s="369">
        <f>11%*ECO!W80*$G$132</f>
        <v>6811.537967700082</v>
      </c>
      <c r="N159" s="369">
        <f>11%*ECO!X80*$G$132</f>
        <v>7308.316609738145</v>
      </c>
      <c r="O159" s="818">
        <f>11%*ECO!Y80*$G$132</f>
        <v>7844.640358293312</v>
      </c>
      <c r="P159" s="21"/>
    </row>
    <row r="160" spans="1:16" s="35" customFormat="1" ht="15">
      <c r="A160" s="32" t="s">
        <v>348</v>
      </c>
      <c r="B160" s="368">
        <f>2400*(60/5/4/12)</f>
        <v>600</v>
      </c>
      <c r="C160" s="369">
        <f aca="true" t="shared" si="88" ref="C160:O160">2400*(60/5/4/12)</f>
        <v>600</v>
      </c>
      <c r="D160" s="369">
        <f t="shared" si="88"/>
        <v>600</v>
      </c>
      <c r="E160" s="369">
        <f t="shared" si="88"/>
        <v>600</v>
      </c>
      <c r="F160" s="369">
        <f t="shared" si="88"/>
        <v>600</v>
      </c>
      <c r="G160" s="369">
        <f t="shared" si="88"/>
        <v>600</v>
      </c>
      <c r="H160" s="369">
        <f t="shared" si="88"/>
        <v>600</v>
      </c>
      <c r="I160" s="369">
        <f t="shared" si="88"/>
        <v>600</v>
      </c>
      <c r="J160" s="369">
        <f t="shared" si="88"/>
        <v>600</v>
      </c>
      <c r="K160" s="369">
        <f t="shared" si="88"/>
        <v>600</v>
      </c>
      <c r="L160" s="369">
        <f t="shared" si="88"/>
        <v>600</v>
      </c>
      <c r="M160" s="369">
        <f t="shared" si="88"/>
        <v>600</v>
      </c>
      <c r="N160" s="369">
        <f t="shared" si="88"/>
        <v>600</v>
      </c>
      <c r="O160" s="818">
        <f t="shared" si="88"/>
        <v>600</v>
      </c>
      <c r="P160" s="21"/>
    </row>
    <row r="161" spans="1:16" s="35" customFormat="1" ht="15">
      <c r="A161" s="32" t="s">
        <v>350</v>
      </c>
      <c r="B161" s="368">
        <f aca="true" t="shared" si="89" ref="B161:O161">(B159+B160)*B135/1000</f>
        <v>0</v>
      </c>
      <c r="C161" s="369">
        <f t="shared" si="89"/>
        <v>0</v>
      </c>
      <c r="D161" s="369">
        <f t="shared" si="89"/>
        <v>0</v>
      </c>
      <c r="E161" s="369">
        <f t="shared" si="89"/>
        <v>0</v>
      </c>
      <c r="F161" s="369">
        <f t="shared" si="89"/>
        <v>0</v>
      </c>
      <c r="G161" s="369">
        <f t="shared" si="89"/>
        <v>0</v>
      </c>
      <c r="H161" s="369">
        <f t="shared" si="89"/>
        <v>0</v>
      </c>
      <c r="I161" s="369">
        <f t="shared" si="89"/>
        <v>0</v>
      </c>
      <c r="J161" s="369">
        <f t="shared" si="89"/>
        <v>3183.1226449701107</v>
      </c>
      <c r="K161" s="369">
        <f t="shared" si="89"/>
        <v>6844.976727188818</v>
      </c>
      <c r="L161" s="369">
        <f t="shared" si="89"/>
        <v>11042.684024171764</v>
      </c>
      <c r="M161" s="369">
        <f t="shared" si="89"/>
        <v>15839.673018586334</v>
      </c>
      <c r="N161" s="369">
        <f t="shared" si="89"/>
        <v>17044.70922098291</v>
      </c>
      <c r="O161" s="818">
        <f t="shared" si="89"/>
        <v>18345.895803078198</v>
      </c>
      <c r="P161" s="21"/>
    </row>
    <row r="162" spans="1:16" s="35" customFormat="1" ht="15">
      <c r="A162" s="32"/>
      <c r="B162" s="368"/>
      <c r="C162" s="369"/>
      <c r="D162" s="369"/>
      <c r="E162" s="369"/>
      <c r="F162" s="369"/>
      <c r="G162" s="369"/>
      <c r="H162" s="369"/>
      <c r="I162" s="369"/>
      <c r="J162" s="369"/>
      <c r="K162" s="369"/>
      <c r="L162" s="369"/>
      <c r="M162" s="369"/>
      <c r="N162" s="369"/>
      <c r="O162" s="818"/>
      <c r="P162" s="21"/>
    </row>
    <row r="163" spans="1:16" s="35" customFormat="1" ht="15">
      <c r="A163" s="32" t="s">
        <v>389</v>
      </c>
      <c r="B163" s="368">
        <f>B155+B159+B160</f>
        <v>32634.6</v>
      </c>
      <c r="C163" s="369">
        <f aca="true" t="shared" si="90" ref="C163:O163">C155+C159+C160</f>
        <v>34746.51563552661</v>
      </c>
      <c r="D163" s="369">
        <f t="shared" si="90"/>
        <v>37446.42441887306</v>
      </c>
      <c r="E163" s="369">
        <f t="shared" si="90"/>
        <v>39971.95018275501</v>
      </c>
      <c r="F163" s="369">
        <f t="shared" si="90"/>
        <v>43031.24742331649</v>
      </c>
      <c r="G163" s="369">
        <f t="shared" si="90"/>
        <v>46031.80997365288</v>
      </c>
      <c r="H163" s="369">
        <f t="shared" si="90"/>
        <v>49249.78871539031</v>
      </c>
      <c r="I163" s="369">
        <f t="shared" si="90"/>
        <v>52699.02993431482</v>
      </c>
      <c r="J163" s="369">
        <f t="shared" si="90"/>
        <v>56400.8757904548</v>
      </c>
      <c r="K163" s="369">
        <f t="shared" si="90"/>
        <v>60388.068586405076</v>
      </c>
      <c r="L163" s="369">
        <f t="shared" si="90"/>
        <v>64692.69923046211</v>
      </c>
      <c r="M163" s="369">
        <f t="shared" si="90"/>
        <v>69334.6104013372</v>
      </c>
      <c r="N163" s="369">
        <f t="shared" si="90"/>
        <v>74347.55851644855</v>
      </c>
      <c r="O163" s="818">
        <f t="shared" si="90"/>
        <v>79759.55270641432</v>
      </c>
      <c r="P163" s="21"/>
    </row>
    <row r="164" spans="1:16" s="35" customFormat="1" ht="15">
      <c r="A164" s="32" t="s">
        <v>349</v>
      </c>
      <c r="B164" s="368">
        <f>B156+B161</f>
        <v>0</v>
      </c>
      <c r="C164" s="369">
        <f aca="true" t="shared" si="91" ref="C164:O164">C156+C161</f>
        <v>0</v>
      </c>
      <c r="D164" s="369">
        <f t="shared" si="91"/>
        <v>0</v>
      </c>
      <c r="E164" s="369">
        <f t="shared" si="91"/>
        <v>0</v>
      </c>
      <c r="F164" s="369">
        <f t="shared" si="91"/>
        <v>0</v>
      </c>
      <c r="G164" s="369">
        <f t="shared" si="91"/>
        <v>0</v>
      </c>
      <c r="H164" s="369">
        <f t="shared" si="91"/>
        <v>0</v>
      </c>
      <c r="I164" s="369">
        <f t="shared" si="91"/>
        <v>0</v>
      </c>
      <c r="J164" s="369">
        <f t="shared" si="91"/>
        <v>29288.13682197111</v>
      </c>
      <c r="K164" s="369">
        <f t="shared" si="91"/>
        <v>63349.959928905344</v>
      </c>
      <c r="L164" s="369">
        <f t="shared" si="91"/>
        <v>102766.03344391506</v>
      </c>
      <c r="M164" s="369">
        <f t="shared" si="91"/>
        <v>148179.44162391665</v>
      </c>
      <c r="N164" s="369">
        <f t="shared" si="91"/>
        <v>160240.48842991845</v>
      </c>
      <c r="O164" s="818">
        <f t="shared" si="91"/>
        <v>173276.82188560723</v>
      </c>
      <c r="P164" s="21"/>
    </row>
    <row r="165" spans="1:16" s="35" customFormat="1" ht="15">
      <c r="A165" s="32" t="s">
        <v>342</v>
      </c>
      <c r="B165" s="368">
        <f>25%*B164</f>
        <v>0</v>
      </c>
      <c r="C165" s="369">
        <f>25%*C164</f>
        <v>0</v>
      </c>
      <c r="D165" s="369">
        <f aca="true" t="shared" si="92" ref="D165:O165">25%*D164</f>
        <v>0</v>
      </c>
      <c r="E165" s="369">
        <f t="shared" si="92"/>
        <v>0</v>
      </c>
      <c r="F165" s="369">
        <f t="shared" si="92"/>
        <v>0</v>
      </c>
      <c r="G165" s="369">
        <f t="shared" si="92"/>
        <v>0</v>
      </c>
      <c r="H165" s="369">
        <f t="shared" si="92"/>
        <v>0</v>
      </c>
      <c r="I165" s="369">
        <f t="shared" si="92"/>
        <v>0</v>
      </c>
      <c r="J165" s="369">
        <f t="shared" si="92"/>
        <v>7322.034205492778</v>
      </c>
      <c r="K165" s="369">
        <f t="shared" si="92"/>
        <v>15837.489982226336</v>
      </c>
      <c r="L165" s="369">
        <f t="shared" si="92"/>
        <v>25691.508360978765</v>
      </c>
      <c r="M165" s="369">
        <f t="shared" si="92"/>
        <v>37044.86040597916</v>
      </c>
      <c r="N165" s="369">
        <f t="shared" si="92"/>
        <v>40060.12210747961</v>
      </c>
      <c r="O165" s="818">
        <f t="shared" si="92"/>
        <v>43319.20547140181</v>
      </c>
      <c r="P165" s="21"/>
    </row>
    <row r="166" spans="1:16" s="35" customFormat="1" ht="15">
      <c r="A166" s="32"/>
      <c r="B166" s="368"/>
      <c r="C166" s="369"/>
      <c r="D166" s="369"/>
      <c r="E166" s="369"/>
      <c r="F166" s="369"/>
      <c r="G166" s="369"/>
      <c r="H166" s="369"/>
      <c r="I166" s="369"/>
      <c r="J166" s="369"/>
      <c r="K166" s="369"/>
      <c r="L166" s="369"/>
      <c r="M166" s="369"/>
      <c r="N166" s="369"/>
      <c r="O166" s="818"/>
      <c r="P166" s="21"/>
    </row>
    <row r="167" spans="1:16" s="35" customFormat="1" ht="15">
      <c r="A167" s="43" t="s">
        <v>528</v>
      </c>
      <c r="B167" s="44">
        <f>B164+B165</f>
        <v>0</v>
      </c>
      <c r="C167" s="45">
        <f aca="true" t="shared" si="93" ref="C167:O167">C164+C165</f>
        <v>0</v>
      </c>
      <c r="D167" s="45">
        <f t="shared" si="93"/>
        <v>0</v>
      </c>
      <c r="E167" s="45">
        <f t="shared" si="93"/>
        <v>0</v>
      </c>
      <c r="F167" s="45">
        <f t="shared" si="93"/>
        <v>0</v>
      </c>
      <c r="G167" s="45">
        <f t="shared" si="93"/>
        <v>0</v>
      </c>
      <c r="H167" s="45">
        <f t="shared" si="93"/>
        <v>0</v>
      </c>
      <c r="I167" s="45">
        <f t="shared" si="93"/>
        <v>0</v>
      </c>
      <c r="J167" s="45">
        <f t="shared" si="93"/>
        <v>36610.17102746389</v>
      </c>
      <c r="K167" s="45">
        <f t="shared" si="93"/>
        <v>79187.44991113168</v>
      </c>
      <c r="L167" s="45">
        <f t="shared" si="93"/>
        <v>128457.54180489383</v>
      </c>
      <c r="M167" s="45">
        <f t="shared" si="93"/>
        <v>185224.3020298958</v>
      </c>
      <c r="N167" s="45">
        <f t="shared" si="93"/>
        <v>200300.61053739805</v>
      </c>
      <c r="O167" s="874">
        <f t="shared" si="93"/>
        <v>216596.02735700904</v>
      </c>
      <c r="P167" s="21"/>
    </row>
    <row r="168" spans="1:16" s="35" customFormat="1" ht="15">
      <c r="A168" s="43" t="s">
        <v>69</v>
      </c>
      <c r="B168" s="270">
        <f>B167/(ECO!L$66*1000)</f>
        <v>0</v>
      </c>
      <c r="C168" s="271">
        <f>C167/(ECO!M$66*1000)</f>
        <v>0</v>
      </c>
      <c r="D168" s="271">
        <f>D167/(ECO!N$66*1000)</f>
        <v>0</v>
      </c>
      <c r="E168" s="271">
        <f>E167/(ECO!O$66*1000)</f>
        <v>0</v>
      </c>
      <c r="F168" s="271">
        <f>F167/(ECO!P$66*1000)</f>
        <v>0</v>
      </c>
      <c r="G168" s="271">
        <f>G167/(ECO!Q$66*1000)</f>
        <v>0</v>
      </c>
      <c r="H168" s="271">
        <f>H167/(ECO!R$66*1000)</f>
        <v>0</v>
      </c>
      <c r="I168" s="271">
        <f>I167/(ECO!S$66*1000)</f>
        <v>0</v>
      </c>
      <c r="J168" s="271">
        <f>J167/(ECO!T$66*1000)</f>
        <v>0.0013968367052339162</v>
      </c>
      <c r="K168" s="271">
        <f>K167/(ECO!U$66*1000)</f>
        <v>0.002850324942068207</v>
      </c>
      <c r="L168" s="271">
        <f>L167/(ECO!V$66*1000)</f>
        <v>0.00436206122921072</v>
      </c>
      <c r="M168" s="271">
        <f>M167/(ECO!W$66*1000)</f>
        <v>0.005933681785598068</v>
      </c>
      <c r="N168" s="271">
        <f>N167/(ECO!X$66*1000)</f>
        <v>0.0060534462829345045</v>
      </c>
      <c r="O168" s="968">
        <f>O167/(ECO!Y$66*1000)</f>
        <v>0.006175399260410038</v>
      </c>
      <c r="P168" s="21"/>
    </row>
    <row r="169" spans="1:16" s="35" customFormat="1" ht="15">
      <c r="A169" s="969" t="s">
        <v>71</v>
      </c>
      <c r="B169" s="1010">
        <f>B167/('GGO (SQ)'!L$24*1000)</f>
        <v>0</v>
      </c>
      <c r="C169" s="1011">
        <f>C167/('GGO (SQ)'!M$24*1000)</f>
        <v>0</v>
      </c>
      <c r="D169" s="1011">
        <f>D167/('GGO (SQ)'!N$24*1000)</f>
        <v>0</v>
      </c>
      <c r="E169" s="1011">
        <f>E167/('GGO (SQ)'!O$24*1000)</f>
        <v>0</v>
      </c>
      <c r="F169" s="1011">
        <f>F167/('GGO (SQ)'!P$24*1000)</f>
        <v>0</v>
      </c>
      <c r="G169" s="1011">
        <f>G167/('GGO (SQ)'!Q$24*1000)</f>
        <v>0</v>
      </c>
      <c r="H169" s="1011">
        <f>H167/('GGO (SQ)'!R$24*1000)</f>
        <v>0</v>
      </c>
      <c r="I169" s="1011">
        <f>I167/('GGO (SQ)'!S$24*1000)</f>
        <v>0</v>
      </c>
      <c r="J169" s="1011">
        <f>J167/('GGO (SQ)'!T$24*1000)</f>
        <v>0.008905664980970255</v>
      </c>
      <c r="K169" s="1011">
        <f>K167/('GGO (SQ)'!U$24*1000)</f>
        <v>0.018172517178170842</v>
      </c>
      <c r="L169" s="1011">
        <f>L167/('GGO (SQ)'!V$24*1000)</f>
        <v>0.02781073534814121</v>
      </c>
      <c r="M169" s="1011">
        <f>M167/('GGO (SQ)'!W$24*1000)</f>
        <v>0.03783075135999704</v>
      </c>
      <c r="N169" s="1011">
        <f>N167/('GGO (SQ)'!X$24*1000)</f>
        <v>0.038594321279012016</v>
      </c>
      <c r="O169" s="1012">
        <f>O167/('GGO (SQ)'!Y$24*1000)</f>
        <v>0.03937184406085146</v>
      </c>
      <c r="P169" s="21"/>
    </row>
    <row r="171" spans="1:16" ht="14.25" customHeight="1">
      <c r="A171" s="1117" t="s">
        <v>415</v>
      </c>
      <c r="B171" s="1118"/>
      <c r="C171" s="1118"/>
      <c r="D171" s="1118"/>
      <c r="E171" s="1118"/>
      <c r="F171" s="1118"/>
      <c r="G171" s="1118"/>
      <c r="H171" s="1118"/>
      <c r="I171" s="1118"/>
      <c r="J171" s="1118"/>
      <c r="K171" s="1118"/>
      <c r="L171" s="1118"/>
      <c r="M171" s="1118"/>
      <c r="N171" s="1118"/>
      <c r="O171" s="1119"/>
      <c r="P171" s="1113" t="s">
        <v>606</v>
      </c>
    </row>
    <row r="172" spans="1:16" ht="14.25" customHeight="1">
      <c r="A172" s="690"/>
      <c r="B172" s="1135" t="s">
        <v>340</v>
      </c>
      <c r="C172" s="1135"/>
      <c r="D172" s="1135"/>
      <c r="E172" s="1135"/>
      <c r="F172" s="1135"/>
      <c r="G172" s="639">
        <v>80</v>
      </c>
      <c r="H172" s="916"/>
      <c r="I172" s="1002"/>
      <c r="J172" s="1002"/>
      <c r="K172" s="1002"/>
      <c r="L172" s="1002"/>
      <c r="M172" s="1002"/>
      <c r="N172" s="1002"/>
      <c r="O172" s="691"/>
      <c r="P172" s="1113"/>
    </row>
    <row r="173" spans="1:16" ht="15">
      <c r="A173" s="30" t="s">
        <v>386</v>
      </c>
      <c r="B173" s="368">
        <f>ECO!L39*50%</f>
        <v>1898.8286499999997</v>
      </c>
      <c r="C173" s="369">
        <f>ECO!M39*50%</f>
        <v>1923.1549349999998</v>
      </c>
      <c r="D173" s="369">
        <f>ECO!N39*50%</f>
        <v>1945.9915199999998</v>
      </c>
      <c r="E173" s="369">
        <f>ECO!O39*50%</f>
        <v>1968.0148</v>
      </c>
      <c r="F173" s="369">
        <f>ECO!P39*50%</f>
        <v>1989.90525</v>
      </c>
      <c r="G173" s="369">
        <f>ECO!Q39*50%</f>
        <v>2011.82793</v>
      </c>
      <c r="H173" s="369">
        <f>ECO!R39*50%</f>
        <v>2033.6619599999997</v>
      </c>
      <c r="I173" s="369">
        <f>ECO!S39*50%</f>
        <v>2055.493065</v>
      </c>
      <c r="J173" s="369">
        <f>ECO!T39*50%</f>
        <v>2077.1405699999996</v>
      </c>
      <c r="K173" s="369">
        <f>ECO!U39*50%</f>
        <v>2098.09525</v>
      </c>
      <c r="L173" s="369">
        <f>ECO!V39*50%</f>
        <v>2118.03464</v>
      </c>
      <c r="M173" s="369">
        <f>ECO!W39*50%</f>
        <v>2137.16412</v>
      </c>
      <c r="N173" s="369">
        <f>ECO!X39*50%</f>
        <v>2155.28918</v>
      </c>
      <c r="O173" s="818">
        <f>ECO!Y39*50%</f>
        <v>2172.48989</v>
      </c>
      <c r="P173" s="1113"/>
    </row>
    <row r="174" spans="1:16" s="35" customFormat="1" ht="15">
      <c r="A174" s="32" t="s">
        <v>74</v>
      </c>
      <c r="B174" s="370">
        <v>0</v>
      </c>
      <c r="C174" s="371">
        <v>0</v>
      </c>
      <c r="D174" s="371">
        <v>0</v>
      </c>
      <c r="E174" s="371">
        <v>0</v>
      </c>
      <c r="F174" s="371">
        <v>0</v>
      </c>
      <c r="G174" s="371">
        <v>0</v>
      </c>
      <c r="H174" s="371">
        <v>0</v>
      </c>
      <c r="I174" s="371">
        <v>0</v>
      </c>
      <c r="J174" s="371">
        <v>0.25</v>
      </c>
      <c r="K174" s="371">
        <v>0.5</v>
      </c>
      <c r="L174" s="371">
        <v>0.75</v>
      </c>
      <c r="M174" s="371">
        <v>1</v>
      </c>
      <c r="N174" s="371">
        <v>1</v>
      </c>
      <c r="O174" s="870">
        <v>1</v>
      </c>
      <c r="P174" s="1113"/>
    </row>
    <row r="175" spans="1:16" s="35" customFormat="1" ht="15">
      <c r="A175" s="32" t="s">
        <v>70</v>
      </c>
      <c r="B175" s="368">
        <f>B173*B174</f>
        <v>0</v>
      </c>
      <c r="C175" s="369">
        <f aca="true" t="shared" si="94" ref="C175:O175">C173*C174</f>
        <v>0</v>
      </c>
      <c r="D175" s="369">
        <f t="shared" si="94"/>
        <v>0</v>
      </c>
      <c r="E175" s="369">
        <f t="shared" si="94"/>
        <v>0</v>
      </c>
      <c r="F175" s="369">
        <f t="shared" si="94"/>
        <v>0</v>
      </c>
      <c r="G175" s="369">
        <f t="shared" si="94"/>
        <v>0</v>
      </c>
      <c r="H175" s="369">
        <f t="shared" si="94"/>
        <v>0</v>
      </c>
      <c r="I175" s="369">
        <f t="shared" si="94"/>
        <v>0</v>
      </c>
      <c r="J175" s="369">
        <f t="shared" si="94"/>
        <v>519.2851424999999</v>
      </c>
      <c r="K175" s="369">
        <f t="shared" si="94"/>
        <v>1049.047625</v>
      </c>
      <c r="L175" s="369">
        <f t="shared" si="94"/>
        <v>1588.52598</v>
      </c>
      <c r="M175" s="369">
        <f t="shared" si="94"/>
        <v>2137.16412</v>
      </c>
      <c r="N175" s="369">
        <f t="shared" si="94"/>
        <v>2155.28918</v>
      </c>
      <c r="O175" s="818">
        <f t="shared" si="94"/>
        <v>2172.48989</v>
      </c>
      <c r="P175" s="1113"/>
    </row>
    <row r="176" spans="1:16" s="35" customFormat="1" ht="15">
      <c r="A176" s="32"/>
      <c r="B176" s="368"/>
      <c r="C176" s="369"/>
      <c r="D176" s="369"/>
      <c r="E176" s="369"/>
      <c r="F176" s="369"/>
      <c r="G176" s="369"/>
      <c r="H176" s="369"/>
      <c r="I176" s="369"/>
      <c r="J176" s="369"/>
      <c r="K176" s="369"/>
      <c r="L176" s="369"/>
      <c r="M176" s="369"/>
      <c r="N176" s="369"/>
      <c r="O176" s="818"/>
      <c r="P176" s="1113"/>
    </row>
    <row r="177" spans="1:16" s="35" customFormat="1" ht="15">
      <c r="A177" s="692" t="s">
        <v>343</v>
      </c>
      <c r="B177" s="368"/>
      <c r="C177" s="369"/>
      <c r="D177" s="369"/>
      <c r="E177" s="369"/>
      <c r="F177" s="369"/>
      <c r="G177" s="369"/>
      <c r="H177" s="369"/>
      <c r="I177" s="369"/>
      <c r="J177" s="369"/>
      <c r="K177" s="369"/>
      <c r="L177" s="369"/>
      <c r="M177" s="369"/>
      <c r="N177" s="369"/>
      <c r="O177" s="818"/>
      <c r="P177" s="1113"/>
    </row>
    <row r="178" spans="1:16" s="35" customFormat="1" ht="15">
      <c r="A178" s="32" t="s">
        <v>341</v>
      </c>
      <c r="B178" s="368">
        <f>ECO!L79*$G$172</f>
        <v>16800</v>
      </c>
      <c r="C178" s="369">
        <f>ECO!M79*$G$172</f>
        <v>17907.55816138947</v>
      </c>
      <c r="D178" s="369">
        <f>ECO!N79*$G$172</f>
        <v>19323.479307906684</v>
      </c>
      <c r="E178" s="369">
        <f>ECO!O79*$G$172</f>
        <v>20647.94825189902</v>
      </c>
      <c r="F178" s="369">
        <f>ECO!P79*$G$172</f>
        <v>22252.344549696798</v>
      </c>
      <c r="G178" s="369">
        <f>ECO!Q79*$G$172</f>
        <v>23825.938440229274</v>
      </c>
      <c r="H178" s="369">
        <f>ECO!R79*$G$172</f>
        <v>25513.55254688859</v>
      </c>
      <c r="I178" s="369">
        <f>ECO!S79*$G$172</f>
        <v>27322.448318271156</v>
      </c>
      <c r="J178" s="369">
        <f>ECO!T79*$G$172</f>
        <v>29263.81828646653</v>
      </c>
      <c r="K178" s="369">
        <f>ECO!U79*$G$172</f>
        <v>31354.833594039115</v>
      </c>
      <c r="L178" s="369">
        <f>ECO!V79*$G$172</f>
        <v>33612.32377091531</v>
      </c>
      <c r="M178" s="369">
        <f>ECO!W79*$G$172</f>
        <v>36046.69497176381</v>
      </c>
      <c r="N178" s="369">
        <f>ECO!X79*$G$172</f>
        <v>38675.65017438445</v>
      </c>
      <c r="O178" s="818">
        <f>ECO!Y79*$G$172</f>
        <v>41513.87828996651</v>
      </c>
      <c r="P178" s="1113"/>
    </row>
    <row r="179" spans="1:16" s="35" customFormat="1" ht="15">
      <c r="A179" s="32" t="s">
        <v>345</v>
      </c>
      <c r="B179" s="368">
        <f>B175*B178/1000</f>
        <v>0</v>
      </c>
      <c r="C179" s="369">
        <f aca="true" t="shared" si="95" ref="C179:H179">C175*C178/1000</f>
        <v>0</v>
      </c>
      <c r="D179" s="369">
        <f t="shared" si="95"/>
        <v>0</v>
      </c>
      <c r="E179" s="369">
        <f t="shared" si="95"/>
        <v>0</v>
      </c>
      <c r="F179" s="369">
        <f t="shared" si="95"/>
        <v>0</v>
      </c>
      <c r="G179" s="369">
        <f t="shared" si="95"/>
        <v>0</v>
      </c>
      <c r="H179" s="369">
        <f t="shared" si="95"/>
        <v>0</v>
      </c>
      <c r="I179" s="369">
        <f>I175*I178/1000</f>
        <v>0</v>
      </c>
      <c r="J179" s="369">
        <f aca="true" t="shared" si="96" ref="J179:O179">J175*J178/1000</f>
        <v>15196.266048981874</v>
      </c>
      <c r="K179" s="369">
        <f t="shared" si="96"/>
        <v>32892.71371409694</v>
      </c>
      <c r="L179" s="369">
        <f t="shared" si="96"/>
        <v>53394.04955827053</v>
      </c>
      <c r="M179" s="369">
        <f t="shared" si="96"/>
        <v>77037.70313823802</v>
      </c>
      <c r="N179" s="369">
        <f t="shared" si="96"/>
        <v>83357.21035031593</v>
      </c>
      <c r="O179" s="818">
        <f t="shared" si="96"/>
        <v>90188.48087964272</v>
      </c>
      <c r="P179" s="1113"/>
    </row>
    <row r="180" spans="1:16" s="35" customFormat="1" ht="15">
      <c r="A180" s="32"/>
      <c r="B180" s="368"/>
      <c r="C180" s="369"/>
      <c r="D180" s="369"/>
      <c r="E180" s="369"/>
      <c r="F180" s="369"/>
      <c r="G180" s="369"/>
      <c r="H180" s="369"/>
      <c r="I180" s="369"/>
      <c r="J180" s="369"/>
      <c r="K180" s="369"/>
      <c r="L180" s="369"/>
      <c r="M180" s="369"/>
      <c r="N180" s="369"/>
      <c r="O180" s="818"/>
      <c r="P180" s="1113"/>
    </row>
    <row r="181" spans="1:16" s="35" customFormat="1" ht="15">
      <c r="A181" s="692" t="s">
        <v>346</v>
      </c>
      <c r="B181" s="368"/>
      <c r="C181" s="369"/>
      <c r="D181" s="369"/>
      <c r="E181" s="369"/>
      <c r="F181" s="369"/>
      <c r="G181" s="369"/>
      <c r="H181" s="369"/>
      <c r="I181" s="369"/>
      <c r="J181" s="369"/>
      <c r="K181" s="369"/>
      <c r="L181" s="369"/>
      <c r="M181" s="369"/>
      <c r="N181" s="369"/>
      <c r="O181" s="818"/>
      <c r="P181" s="1113"/>
    </row>
    <row r="182" spans="1:16" s="35" customFormat="1" ht="15">
      <c r="A182" s="32" t="s">
        <v>347</v>
      </c>
      <c r="B182" s="368">
        <f>11%*ECO!L79*$G$172</f>
        <v>1848</v>
      </c>
      <c r="C182" s="369">
        <f>11%*ECO!M79*$G$172</f>
        <v>1969.8313977528417</v>
      </c>
      <c r="D182" s="369">
        <f>11%*ECO!N79*$G$172</f>
        <v>2125.582723869735</v>
      </c>
      <c r="E182" s="369">
        <f>11%*ECO!O79*$G$172</f>
        <v>2271.274307708892</v>
      </c>
      <c r="F182" s="369">
        <f>11%*ECO!P79*$G$172</f>
        <v>2447.757900466648</v>
      </c>
      <c r="G182" s="369">
        <f>11%*ECO!Q79*$G$172</f>
        <v>2620.8532284252205</v>
      </c>
      <c r="H182" s="369">
        <f>11%*ECO!R79*$G$172</f>
        <v>2806.4907801577447</v>
      </c>
      <c r="I182" s="369">
        <f>11%*ECO!S79*$G$172</f>
        <v>3005.469315009827</v>
      </c>
      <c r="J182" s="369">
        <f>11%*ECO!T79*$G$172</f>
        <v>3219.0200115113184</v>
      </c>
      <c r="K182" s="369">
        <f>11%*ECO!U79*$G$172</f>
        <v>3449.0316953443025</v>
      </c>
      <c r="L182" s="369">
        <f>11%*ECO!V79*$G$172</f>
        <v>3697.3556148006837</v>
      </c>
      <c r="M182" s="369">
        <f>11%*ECO!W79*$G$172</f>
        <v>3965.136446894019</v>
      </c>
      <c r="N182" s="369">
        <f>11%*ECO!X79*$G$172</f>
        <v>4254.321519182289</v>
      </c>
      <c r="O182" s="818">
        <f>11%*ECO!Y79*$G$172</f>
        <v>4566.526611896315</v>
      </c>
      <c r="P182" s="1113"/>
    </row>
    <row r="183" spans="1:16" s="35" customFormat="1" ht="15">
      <c r="A183" s="32" t="s">
        <v>348</v>
      </c>
      <c r="B183" s="368">
        <f>2400*(80/5/4/12)</f>
        <v>800</v>
      </c>
      <c r="C183" s="369">
        <f aca="true" t="shared" si="97" ref="C183:O183">2400*(80/5/4/12)</f>
        <v>800</v>
      </c>
      <c r="D183" s="369">
        <f t="shared" si="97"/>
        <v>800</v>
      </c>
      <c r="E183" s="369">
        <f t="shared" si="97"/>
        <v>800</v>
      </c>
      <c r="F183" s="369">
        <f t="shared" si="97"/>
        <v>800</v>
      </c>
      <c r="G183" s="369">
        <f t="shared" si="97"/>
        <v>800</v>
      </c>
      <c r="H183" s="369">
        <f t="shared" si="97"/>
        <v>800</v>
      </c>
      <c r="I183" s="369">
        <f t="shared" si="97"/>
        <v>800</v>
      </c>
      <c r="J183" s="369">
        <f t="shared" si="97"/>
        <v>800</v>
      </c>
      <c r="K183" s="369">
        <f t="shared" si="97"/>
        <v>800</v>
      </c>
      <c r="L183" s="369">
        <f t="shared" si="97"/>
        <v>800</v>
      </c>
      <c r="M183" s="369">
        <f t="shared" si="97"/>
        <v>800</v>
      </c>
      <c r="N183" s="369">
        <f t="shared" si="97"/>
        <v>800</v>
      </c>
      <c r="O183" s="818">
        <f t="shared" si="97"/>
        <v>800</v>
      </c>
      <c r="P183" s="1113"/>
    </row>
    <row r="184" spans="1:16" s="35" customFormat="1" ht="15">
      <c r="A184" s="32" t="s">
        <v>350</v>
      </c>
      <c r="B184" s="368">
        <f>(B182+B183)*B175/1000</f>
        <v>0</v>
      </c>
      <c r="C184" s="369">
        <f aca="true" t="shared" si="98" ref="C184:O184">(C182+C183)*C175/1000</f>
        <v>0</v>
      </c>
      <c r="D184" s="369">
        <f t="shared" si="98"/>
        <v>0</v>
      </c>
      <c r="E184" s="369">
        <f t="shared" si="98"/>
        <v>0</v>
      </c>
      <c r="F184" s="369">
        <f t="shared" si="98"/>
        <v>0</v>
      </c>
      <c r="G184" s="369">
        <f t="shared" si="98"/>
        <v>0</v>
      </c>
      <c r="H184" s="369">
        <f t="shared" si="98"/>
        <v>0</v>
      </c>
      <c r="I184" s="369">
        <f t="shared" si="98"/>
        <v>0</v>
      </c>
      <c r="J184" s="369">
        <f t="shared" si="98"/>
        <v>2087.0173793880062</v>
      </c>
      <c r="K184" s="369">
        <f t="shared" si="98"/>
        <v>4457.4366085506645</v>
      </c>
      <c r="L184" s="369">
        <f t="shared" si="98"/>
        <v>7144.166235409758</v>
      </c>
      <c r="M184" s="369">
        <f t="shared" si="98"/>
        <v>10183.878641206182</v>
      </c>
      <c r="N184" s="369">
        <f t="shared" si="98"/>
        <v>10893.52448253475</v>
      </c>
      <c r="O184" s="818">
        <f t="shared" si="98"/>
        <v>11658.724808760699</v>
      </c>
      <c r="P184" s="1113"/>
    </row>
    <row r="185" spans="1:16" s="35" customFormat="1" ht="15">
      <c r="A185" s="32"/>
      <c r="B185" s="368"/>
      <c r="C185" s="369"/>
      <c r="D185" s="369"/>
      <c r="E185" s="369"/>
      <c r="F185" s="369"/>
      <c r="G185" s="369"/>
      <c r="H185" s="369"/>
      <c r="I185" s="369"/>
      <c r="J185" s="369"/>
      <c r="K185" s="369"/>
      <c r="L185" s="369"/>
      <c r="M185" s="369"/>
      <c r="N185" s="369"/>
      <c r="O185" s="818"/>
      <c r="P185" s="1113"/>
    </row>
    <row r="186" spans="1:16" s="35" customFormat="1" ht="15">
      <c r="A186" s="32" t="s">
        <v>389</v>
      </c>
      <c r="B186" s="368">
        <f>B178+B182+B183</f>
        <v>19448</v>
      </c>
      <c r="C186" s="369">
        <f aca="true" t="shared" si="99" ref="C186:O186">C178+C182+C183</f>
        <v>20677.38955914231</v>
      </c>
      <c r="D186" s="369">
        <f t="shared" si="99"/>
        <v>22249.06203177642</v>
      </c>
      <c r="E186" s="369">
        <f t="shared" si="99"/>
        <v>23719.22255960791</v>
      </c>
      <c r="F186" s="369">
        <f t="shared" si="99"/>
        <v>25500.102450163446</v>
      </c>
      <c r="G186" s="369">
        <f t="shared" si="99"/>
        <v>27246.791668654496</v>
      </c>
      <c r="H186" s="369">
        <f t="shared" si="99"/>
        <v>29120.043327046333</v>
      </c>
      <c r="I186" s="369">
        <f t="shared" si="99"/>
        <v>31127.917633280984</v>
      </c>
      <c r="J186" s="369">
        <f t="shared" si="99"/>
        <v>33282.83829797785</v>
      </c>
      <c r="K186" s="369">
        <f t="shared" si="99"/>
        <v>35603.865289383415</v>
      </c>
      <c r="L186" s="369">
        <f t="shared" si="99"/>
        <v>38109.679385715994</v>
      </c>
      <c r="M186" s="369">
        <f t="shared" si="99"/>
        <v>40811.831418657835</v>
      </c>
      <c r="N186" s="369">
        <f t="shared" si="99"/>
        <v>43729.97169356674</v>
      </c>
      <c r="O186" s="818">
        <f t="shared" si="99"/>
        <v>46880.40490186283</v>
      </c>
      <c r="P186" s="1113"/>
    </row>
    <row r="187" spans="1:16" s="35" customFormat="1" ht="15">
      <c r="A187" s="32" t="s">
        <v>349</v>
      </c>
      <c r="B187" s="368">
        <f>B179+B184</f>
        <v>0</v>
      </c>
      <c r="C187" s="369">
        <f aca="true" t="shared" si="100" ref="C187:H187">C179+C184</f>
        <v>0</v>
      </c>
      <c r="D187" s="369">
        <f t="shared" si="100"/>
        <v>0</v>
      </c>
      <c r="E187" s="369">
        <f t="shared" si="100"/>
        <v>0</v>
      </c>
      <c r="F187" s="369">
        <f t="shared" si="100"/>
        <v>0</v>
      </c>
      <c r="G187" s="369">
        <f t="shared" si="100"/>
        <v>0</v>
      </c>
      <c r="H187" s="369">
        <f t="shared" si="100"/>
        <v>0</v>
      </c>
      <c r="I187" s="369">
        <f>I179+I184</f>
        <v>0</v>
      </c>
      <c r="J187" s="369">
        <f aca="true" t="shared" si="101" ref="J187:O187">J179+J184</f>
        <v>17283.28342836988</v>
      </c>
      <c r="K187" s="369">
        <f t="shared" si="101"/>
        <v>37350.150322647605</v>
      </c>
      <c r="L187" s="369">
        <f t="shared" si="101"/>
        <v>60538.21579368029</v>
      </c>
      <c r="M187" s="369">
        <f t="shared" si="101"/>
        <v>87221.58177944421</v>
      </c>
      <c r="N187" s="369">
        <f t="shared" si="101"/>
        <v>94250.73483285068</v>
      </c>
      <c r="O187" s="818">
        <f t="shared" si="101"/>
        <v>101847.20568840342</v>
      </c>
      <c r="P187" s="1113"/>
    </row>
    <row r="188" spans="1:16" s="35" customFormat="1" ht="15">
      <c r="A188" s="32" t="s">
        <v>342</v>
      </c>
      <c r="B188" s="368">
        <f>25%*B187</f>
        <v>0</v>
      </c>
      <c r="C188" s="369">
        <f>25%*C187</f>
        <v>0</v>
      </c>
      <c r="D188" s="369">
        <f aca="true" t="shared" si="102" ref="D188:O188">25%*D187</f>
        <v>0</v>
      </c>
      <c r="E188" s="369">
        <f t="shared" si="102"/>
        <v>0</v>
      </c>
      <c r="F188" s="369">
        <f t="shared" si="102"/>
        <v>0</v>
      </c>
      <c r="G188" s="369">
        <f t="shared" si="102"/>
        <v>0</v>
      </c>
      <c r="H188" s="369">
        <f t="shared" si="102"/>
        <v>0</v>
      </c>
      <c r="I188" s="369">
        <f t="shared" si="102"/>
        <v>0</v>
      </c>
      <c r="J188" s="369">
        <f t="shared" si="102"/>
        <v>4320.82085709247</v>
      </c>
      <c r="K188" s="369">
        <f t="shared" si="102"/>
        <v>9337.537580661901</v>
      </c>
      <c r="L188" s="369">
        <f t="shared" si="102"/>
        <v>15134.553948420073</v>
      </c>
      <c r="M188" s="369">
        <f t="shared" si="102"/>
        <v>21805.395444861053</v>
      </c>
      <c r="N188" s="369">
        <f t="shared" si="102"/>
        <v>23562.68370821267</v>
      </c>
      <c r="O188" s="818">
        <f t="shared" si="102"/>
        <v>25461.801422100856</v>
      </c>
      <c r="P188" s="1113"/>
    </row>
    <row r="189" spans="1:16" s="35" customFormat="1" ht="15">
      <c r="A189" s="32"/>
      <c r="B189" s="368"/>
      <c r="C189" s="369"/>
      <c r="D189" s="369"/>
      <c r="E189" s="369"/>
      <c r="F189" s="369"/>
      <c r="G189" s="369"/>
      <c r="H189" s="369"/>
      <c r="I189" s="369"/>
      <c r="J189" s="369"/>
      <c r="K189" s="369"/>
      <c r="L189" s="369"/>
      <c r="M189" s="369"/>
      <c r="N189" s="369"/>
      <c r="O189" s="818"/>
      <c r="P189" s="1113"/>
    </row>
    <row r="190" spans="1:16" s="35" customFormat="1" ht="15">
      <c r="A190" s="43" t="s">
        <v>398</v>
      </c>
      <c r="B190" s="44">
        <f>B187+B188</f>
        <v>0</v>
      </c>
      <c r="C190" s="45">
        <f aca="true" t="shared" si="103" ref="C190:O190">C187+C188</f>
        <v>0</v>
      </c>
      <c r="D190" s="45">
        <f t="shared" si="103"/>
        <v>0</v>
      </c>
      <c r="E190" s="45">
        <f t="shared" si="103"/>
        <v>0</v>
      </c>
      <c r="F190" s="45">
        <f t="shared" si="103"/>
        <v>0</v>
      </c>
      <c r="G190" s="45">
        <f t="shared" si="103"/>
        <v>0</v>
      </c>
      <c r="H190" s="45">
        <f t="shared" si="103"/>
        <v>0</v>
      </c>
      <c r="I190" s="45">
        <f t="shared" si="103"/>
        <v>0</v>
      </c>
      <c r="J190" s="45">
        <f t="shared" si="103"/>
        <v>21604.10428546235</v>
      </c>
      <c r="K190" s="45">
        <f t="shared" si="103"/>
        <v>46687.6879033095</v>
      </c>
      <c r="L190" s="45">
        <f t="shared" si="103"/>
        <v>75672.76974210037</v>
      </c>
      <c r="M190" s="45">
        <f t="shared" si="103"/>
        <v>109026.97722430527</v>
      </c>
      <c r="N190" s="45">
        <f t="shared" si="103"/>
        <v>117813.41854106335</v>
      </c>
      <c r="O190" s="874">
        <f t="shared" si="103"/>
        <v>127309.00711050429</v>
      </c>
      <c r="P190" s="1113"/>
    </row>
    <row r="191" spans="1:16" s="35" customFormat="1" ht="15">
      <c r="A191" s="43" t="s">
        <v>69</v>
      </c>
      <c r="B191" s="270">
        <f>B190/(ECO!L$66*1000)</f>
        <v>0</v>
      </c>
      <c r="C191" s="271">
        <f>C190/(ECO!M$66*1000)</f>
        <v>0</v>
      </c>
      <c r="D191" s="271">
        <f>D190/(ECO!N$66*1000)</f>
        <v>0</v>
      </c>
      <c r="E191" s="271">
        <f>E190/(ECO!O$66*1000)</f>
        <v>0</v>
      </c>
      <c r="F191" s="271">
        <f>F190/(ECO!P$66*1000)</f>
        <v>0</v>
      </c>
      <c r="G191" s="271">
        <f>G190/(ECO!Q$66*1000)</f>
        <v>0</v>
      </c>
      <c r="H191" s="271">
        <f>H190/(ECO!R$66*1000)</f>
        <v>0</v>
      </c>
      <c r="I191" s="271">
        <f>I190/(ECO!S$66*1000)</f>
        <v>0</v>
      </c>
      <c r="J191" s="271">
        <f>J190/(ECO!T$66*1000)</f>
        <v>0.000824290217792125</v>
      </c>
      <c r="K191" s="271">
        <f>K190/(ECO!U$66*1000)</f>
        <v>0.0016805072201168622</v>
      </c>
      <c r="L191" s="271">
        <f>L190/(ECO!V$66*1000)</f>
        <v>0.002569637020614626</v>
      </c>
      <c r="M191" s="271">
        <f>M190/(ECO!W$66*1000)</f>
        <v>0.003492691735397976</v>
      </c>
      <c r="N191" s="271">
        <f>N190/(ECO!X$66*1000)</f>
        <v>0.003560534332041139</v>
      </c>
      <c r="O191" s="968">
        <f>O190/(ECO!Y$66*1000)</f>
        <v>0.0036297246904621197</v>
      </c>
      <c r="P191" s="1113"/>
    </row>
    <row r="192" spans="1:16" s="35" customFormat="1" ht="15">
      <c r="A192" s="43" t="s">
        <v>71</v>
      </c>
      <c r="B192" s="270">
        <f>B190/('GGO (SQ)'!L$24*1000)</f>
        <v>0</v>
      </c>
      <c r="C192" s="271">
        <f>C190/('GGO (SQ)'!M$24*1000)</f>
        <v>0</v>
      </c>
      <c r="D192" s="271">
        <f>D190/('GGO (SQ)'!N$24*1000)</f>
        <v>0</v>
      </c>
      <c r="E192" s="271">
        <f>E190/('GGO (SQ)'!O$24*1000)</f>
        <v>0</v>
      </c>
      <c r="F192" s="271">
        <f>F190/('GGO (SQ)'!P$24*1000)</f>
        <v>0</v>
      </c>
      <c r="G192" s="271">
        <f>G190/('GGO (SQ)'!Q$24*1000)</f>
        <v>0</v>
      </c>
      <c r="H192" s="271">
        <f>H190/('GGO (SQ)'!R$24*1000)</f>
        <v>0</v>
      </c>
      <c r="I192" s="271">
        <f>I190/('GGO (SQ)'!S$24*1000)</f>
        <v>0</v>
      </c>
      <c r="J192" s="271">
        <f>J190/('GGO (SQ)'!T$24*1000)</f>
        <v>0.005255340512775516</v>
      </c>
      <c r="K192" s="271">
        <f>K190/('GGO (SQ)'!U$24*1000)</f>
        <v>0.010714233270349365</v>
      </c>
      <c r="L192" s="271">
        <f>L190/('GGO (SQ)'!V$24*1000)</f>
        <v>0.016382964696263602</v>
      </c>
      <c r="M192" s="271">
        <f>M190/('GGO (SQ)'!W$24*1000)</f>
        <v>0.022267987632848707</v>
      </c>
      <c r="N192" s="271">
        <f>N190/('GGO (SQ)'!X$24*1000)</f>
        <v>0.022700524546347075</v>
      </c>
      <c r="O192" s="968">
        <f>O190/('GGO (SQ)'!Y$24*1000)</f>
        <v>0.02314165424296922</v>
      </c>
      <c r="P192" s="1113"/>
    </row>
    <row r="193" spans="1:16" s="35" customFormat="1" ht="15">
      <c r="A193" s="32"/>
      <c r="B193" s="368"/>
      <c r="C193" s="369"/>
      <c r="D193" s="369"/>
      <c r="E193" s="369"/>
      <c r="F193" s="369"/>
      <c r="G193" s="369"/>
      <c r="H193" s="369"/>
      <c r="I193" s="369"/>
      <c r="J193" s="369"/>
      <c r="K193" s="369"/>
      <c r="L193" s="369"/>
      <c r="M193" s="369"/>
      <c r="N193" s="369"/>
      <c r="O193" s="818"/>
      <c r="P193" s="1113"/>
    </row>
    <row r="194" spans="1:16" s="35" customFormat="1" ht="15">
      <c r="A194" s="692" t="s">
        <v>344</v>
      </c>
      <c r="B194" s="368"/>
      <c r="C194" s="369"/>
      <c r="D194" s="369"/>
      <c r="E194" s="369"/>
      <c r="F194" s="369"/>
      <c r="G194" s="369"/>
      <c r="H194" s="369"/>
      <c r="I194" s="369"/>
      <c r="J194" s="369"/>
      <c r="K194" s="369"/>
      <c r="L194" s="369"/>
      <c r="M194" s="369"/>
      <c r="N194" s="369"/>
      <c r="O194" s="818"/>
      <c r="P194" s="1113"/>
    </row>
    <row r="195" spans="1:16" s="35" customFormat="1" ht="15">
      <c r="A195" s="32" t="s">
        <v>341</v>
      </c>
      <c r="B195" s="368">
        <f>ECO!L80*$G$172</f>
        <v>38480</v>
      </c>
      <c r="C195" s="369">
        <f>ECO!M80*$G$172</f>
        <v>41016.835598230165</v>
      </c>
      <c r="D195" s="369">
        <f>ECO!N80*$G$172</f>
        <v>44259.96927191959</v>
      </c>
      <c r="E195" s="369">
        <f>ECO!O80*$G$172</f>
        <v>47293.633853159175</v>
      </c>
      <c r="F195" s="369">
        <f>ECO!P80*$G$172</f>
        <v>50968.46537335314</v>
      </c>
      <c r="G195" s="369">
        <f>ECO!Q80*$G$172</f>
        <v>54572.74471309656</v>
      </c>
      <c r="H195" s="369">
        <f>ECO!R80*$G$172</f>
        <v>58438.18464311148</v>
      </c>
      <c r="I195" s="369">
        <f>ECO!S80*$G$172</f>
        <v>62581.4173385163</v>
      </c>
      <c r="J195" s="369">
        <f>ECO!T80*$G$172</f>
        <v>67028.07902757333</v>
      </c>
      <c r="K195" s="369">
        <f>ECO!U80*$G$172</f>
        <v>71817.49980348958</v>
      </c>
      <c r="L195" s="369">
        <f>ECO!V80*$G$172</f>
        <v>76988.2273038584</v>
      </c>
      <c r="M195" s="369">
        <f>ECO!W80*$G$172</f>
        <v>82564.09657818281</v>
      </c>
      <c r="N195" s="369">
        <f>ECO!X80*$G$172</f>
        <v>88585.65587561388</v>
      </c>
      <c r="O195" s="818">
        <f>ECO!Y80*$G$172</f>
        <v>95086.54979749468</v>
      </c>
      <c r="P195" s="1113"/>
    </row>
    <row r="196" spans="1:16" s="35" customFormat="1" ht="15">
      <c r="A196" s="32" t="s">
        <v>345</v>
      </c>
      <c r="B196" s="368">
        <f aca="true" t="shared" si="104" ref="B196:O196">B175*B195/1000</f>
        <v>0</v>
      </c>
      <c r="C196" s="369">
        <f t="shared" si="104"/>
        <v>0</v>
      </c>
      <c r="D196" s="369">
        <f t="shared" si="104"/>
        <v>0</v>
      </c>
      <c r="E196" s="369">
        <f t="shared" si="104"/>
        <v>0</v>
      </c>
      <c r="F196" s="369">
        <f t="shared" si="104"/>
        <v>0</v>
      </c>
      <c r="G196" s="369">
        <f t="shared" si="104"/>
        <v>0</v>
      </c>
      <c r="H196" s="369">
        <f t="shared" si="104"/>
        <v>0</v>
      </c>
      <c r="I196" s="369">
        <f t="shared" si="104"/>
        <v>0</v>
      </c>
      <c r="J196" s="369">
        <f t="shared" si="104"/>
        <v>34806.68556933467</v>
      </c>
      <c r="K196" s="369">
        <f t="shared" si="104"/>
        <v>75339.97760228871</v>
      </c>
      <c r="L196" s="369">
        <f t="shared" si="104"/>
        <v>122297.79922632441</v>
      </c>
      <c r="M196" s="369">
        <f t="shared" si="104"/>
        <v>176453.02480710705</v>
      </c>
      <c r="N196" s="369">
        <f t="shared" si="104"/>
        <v>190927.70561191405</v>
      </c>
      <c r="O196" s="818">
        <f t="shared" si="104"/>
        <v>206574.56811003873</v>
      </c>
      <c r="P196" s="1113"/>
    </row>
    <row r="197" spans="1:16" s="35" customFormat="1" ht="15">
      <c r="A197" s="32"/>
      <c r="B197" s="368"/>
      <c r="C197" s="369"/>
      <c r="D197" s="369"/>
      <c r="E197" s="369"/>
      <c r="F197" s="369"/>
      <c r="G197" s="369"/>
      <c r="H197" s="369"/>
      <c r="I197" s="369"/>
      <c r="J197" s="369"/>
      <c r="K197" s="369"/>
      <c r="L197" s="369"/>
      <c r="M197" s="369"/>
      <c r="N197" s="369"/>
      <c r="O197" s="818"/>
      <c r="P197" s="21"/>
    </row>
    <row r="198" spans="1:16" s="35" customFormat="1" ht="15">
      <c r="A198" s="692" t="s">
        <v>346</v>
      </c>
      <c r="B198" s="368"/>
      <c r="C198" s="369"/>
      <c r="D198" s="369"/>
      <c r="E198" s="369"/>
      <c r="F198" s="369"/>
      <c r="G198" s="369"/>
      <c r="H198" s="369"/>
      <c r="I198" s="369"/>
      <c r="J198" s="369"/>
      <c r="K198" s="369"/>
      <c r="L198" s="369"/>
      <c r="M198" s="369"/>
      <c r="N198" s="369"/>
      <c r="O198" s="818"/>
      <c r="P198" s="21"/>
    </row>
    <row r="199" spans="1:16" s="35" customFormat="1" ht="15">
      <c r="A199" s="32" t="s">
        <v>347</v>
      </c>
      <c r="B199" s="368">
        <f>11%*ECO!L80*$G$172</f>
        <v>4232.8</v>
      </c>
      <c r="C199" s="369">
        <f>11%*ECO!M80*$G$172</f>
        <v>4511.851915805318</v>
      </c>
      <c r="D199" s="369">
        <f>11%*ECO!N80*$G$172</f>
        <v>4868.596619911155</v>
      </c>
      <c r="E199" s="369">
        <f>11%*ECO!O80*$G$172</f>
        <v>5202.299723847509</v>
      </c>
      <c r="F199" s="369">
        <f>11%*ECO!P80*$G$172</f>
        <v>5606.531191068845</v>
      </c>
      <c r="G199" s="369">
        <f>11%*ECO!Q80*$G$172</f>
        <v>6003.001918440622</v>
      </c>
      <c r="H199" s="369">
        <f>11%*ECO!R80*$G$172</f>
        <v>6428.200310742263</v>
      </c>
      <c r="I199" s="369">
        <f>11%*ECO!S80*$G$172</f>
        <v>6883.955907236794</v>
      </c>
      <c r="J199" s="369">
        <f>11%*ECO!T80*$G$172</f>
        <v>7373.088693033067</v>
      </c>
      <c r="K199" s="369">
        <f>11%*ECO!U80*$G$172</f>
        <v>7899.924978383853</v>
      </c>
      <c r="L199" s="369">
        <f>11%*ECO!V80*$G$172</f>
        <v>8468.705003424424</v>
      </c>
      <c r="M199" s="369">
        <f>11%*ECO!W80*$G$172</f>
        <v>9082.05062360011</v>
      </c>
      <c r="N199" s="369">
        <f>11%*ECO!X80*$G$172</f>
        <v>9744.422146317527</v>
      </c>
      <c r="O199" s="818">
        <f>11%*ECO!Y80*$G$172</f>
        <v>10459.520477724416</v>
      </c>
      <c r="P199" s="21"/>
    </row>
    <row r="200" spans="1:16" s="35" customFormat="1" ht="15">
      <c r="A200" s="32" t="s">
        <v>348</v>
      </c>
      <c r="B200" s="368">
        <f>2400*(80/5/4/12)</f>
        <v>800</v>
      </c>
      <c r="C200" s="369">
        <f aca="true" t="shared" si="105" ref="C200:O200">2400*(80/5/4/12)</f>
        <v>800</v>
      </c>
      <c r="D200" s="369">
        <f t="shared" si="105"/>
        <v>800</v>
      </c>
      <c r="E200" s="369">
        <f t="shared" si="105"/>
        <v>800</v>
      </c>
      <c r="F200" s="369">
        <f t="shared" si="105"/>
        <v>800</v>
      </c>
      <c r="G200" s="369">
        <f t="shared" si="105"/>
        <v>800</v>
      </c>
      <c r="H200" s="369">
        <f t="shared" si="105"/>
        <v>800</v>
      </c>
      <c r="I200" s="369">
        <f t="shared" si="105"/>
        <v>800</v>
      </c>
      <c r="J200" s="369">
        <f t="shared" si="105"/>
        <v>800</v>
      </c>
      <c r="K200" s="369">
        <f t="shared" si="105"/>
        <v>800</v>
      </c>
      <c r="L200" s="369">
        <f t="shared" si="105"/>
        <v>800</v>
      </c>
      <c r="M200" s="369">
        <f t="shared" si="105"/>
        <v>800</v>
      </c>
      <c r="N200" s="369">
        <f t="shared" si="105"/>
        <v>800</v>
      </c>
      <c r="O200" s="818">
        <f t="shared" si="105"/>
        <v>800</v>
      </c>
      <c r="P200" s="21"/>
    </row>
    <row r="201" spans="1:16" s="35" customFormat="1" ht="15">
      <c r="A201" s="32" t="s">
        <v>350</v>
      </c>
      <c r="B201" s="368">
        <f aca="true" t="shared" si="106" ref="B201:O201">(B199+B200)*B175/1000</f>
        <v>0</v>
      </c>
      <c r="C201" s="369">
        <f t="shared" si="106"/>
        <v>0</v>
      </c>
      <c r="D201" s="369">
        <f t="shared" si="106"/>
        <v>0</v>
      </c>
      <c r="E201" s="369">
        <f t="shared" si="106"/>
        <v>0</v>
      </c>
      <c r="F201" s="369">
        <f t="shared" si="106"/>
        <v>0</v>
      </c>
      <c r="G201" s="369">
        <f t="shared" si="106"/>
        <v>0</v>
      </c>
      <c r="H201" s="369">
        <f t="shared" si="106"/>
        <v>0</v>
      </c>
      <c r="I201" s="369">
        <f t="shared" si="106"/>
        <v>0</v>
      </c>
      <c r="J201" s="369">
        <f t="shared" si="106"/>
        <v>4244.163526626814</v>
      </c>
      <c r="K201" s="369">
        <f t="shared" si="106"/>
        <v>9126.635636251756</v>
      </c>
      <c r="L201" s="369">
        <f t="shared" si="106"/>
        <v>14723.578698895686</v>
      </c>
      <c r="M201" s="369">
        <f t="shared" si="106"/>
        <v>21119.56402478178</v>
      </c>
      <c r="N201" s="369">
        <f t="shared" si="106"/>
        <v>22726.278961310545</v>
      </c>
      <c r="O201" s="818">
        <f t="shared" si="106"/>
        <v>24461.194404104263</v>
      </c>
      <c r="P201" s="21"/>
    </row>
    <row r="202" spans="1:16" s="35" customFormat="1" ht="15">
      <c r="A202" s="32"/>
      <c r="B202" s="368"/>
      <c r="C202" s="369"/>
      <c r="D202" s="369"/>
      <c r="E202" s="369"/>
      <c r="F202" s="369"/>
      <c r="G202" s="369"/>
      <c r="H202" s="369"/>
      <c r="I202" s="369"/>
      <c r="J202" s="369"/>
      <c r="K202" s="369"/>
      <c r="L202" s="369"/>
      <c r="M202" s="369"/>
      <c r="N202" s="369"/>
      <c r="O202" s="818"/>
      <c r="P202" s="21"/>
    </row>
    <row r="203" spans="1:16" s="35" customFormat="1" ht="15">
      <c r="A203" s="32" t="s">
        <v>389</v>
      </c>
      <c r="B203" s="368">
        <f>B195+B199+B200</f>
        <v>43512.8</v>
      </c>
      <c r="C203" s="369">
        <f aca="true" t="shared" si="107" ref="C203:O203">C195+C199+C200</f>
        <v>46328.68751403548</v>
      </c>
      <c r="D203" s="369">
        <f t="shared" si="107"/>
        <v>49928.565891830745</v>
      </c>
      <c r="E203" s="369">
        <f t="shared" si="107"/>
        <v>53295.93357700668</v>
      </c>
      <c r="F203" s="369">
        <f t="shared" si="107"/>
        <v>57374.996564421985</v>
      </c>
      <c r="G203" s="369">
        <f t="shared" si="107"/>
        <v>61375.74663153718</v>
      </c>
      <c r="H203" s="369">
        <f t="shared" si="107"/>
        <v>65666.38495385375</v>
      </c>
      <c r="I203" s="369">
        <f t="shared" si="107"/>
        <v>70265.3732457531</v>
      </c>
      <c r="J203" s="369">
        <f t="shared" si="107"/>
        <v>75201.1677206064</v>
      </c>
      <c r="K203" s="369">
        <f t="shared" si="107"/>
        <v>80517.42478187344</v>
      </c>
      <c r="L203" s="369">
        <f t="shared" si="107"/>
        <v>86256.93230728281</v>
      </c>
      <c r="M203" s="369">
        <f t="shared" si="107"/>
        <v>92446.14720178292</v>
      </c>
      <c r="N203" s="369">
        <f t="shared" si="107"/>
        <v>99130.0780219314</v>
      </c>
      <c r="O203" s="818">
        <f t="shared" si="107"/>
        <v>106346.0702752191</v>
      </c>
      <c r="P203" s="21"/>
    </row>
    <row r="204" spans="1:16" s="35" customFormat="1" ht="15">
      <c r="A204" s="32" t="s">
        <v>349</v>
      </c>
      <c r="B204" s="368">
        <f>B196+B201</f>
        <v>0</v>
      </c>
      <c r="C204" s="369">
        <f aca="true" t="shared" si="108" ref="C204:O204">C196+C201</f>
        <v>0</v>
      </c>
      <c r="D204" s="369">
        <f t="shared" si="108"/>
        <v>0</v>
      </c>
      <c r="E204" s="369">
        <f t="shared" si="108"/>
        <v>0</v>
      </c>
      <c r="F204" s="369">
        <f t="shared" si="108"/>
        <v>0</v>
      </c>
      <c r="G204" s="369">
        <f t="shared" si="108"/>
        <v>0</v>
      </c>
      <c r="H204" s="369">
        <f t="shared" si="108"/>
        <v>0</v>
      </c>
      <c r="I204" s="369">
        <f t="shared" si="108"/>
        <v>0</v>
      </c>
      <c r="J204" s="369">
        <f t="shared" si="108"/>
        <v>39050.84909596149</v>
      </c>
      <c r="K204" s="369">
        <f t="shared" si="108"/>
        <v>84466.61323854046</v>
      </c>
      <c r="L204" s="369">
        <f t="shared" si="108"/>
        <v>137021.3779252201</v>
      </c>
      <c r="M204" s="369">
        <f t="shared" si="108"/>
        <v>197572.58883188883</v>
      </c>
      <c r="N204" s="369">
        <f t="shared" si="108"/>
        <v>213653.9845732246</v>
      </c>
      <c r="O204" s="818">
        <f t="shared" si="108"/>
        <v>231035.762514143</v>
      </c>
      <c r="P204" s="21"/>
    </row>
    <row r="205" spans="1:16" s="35" customFormat="1" ht="15">
      <c r="A205" s="32" t="s">
        <v>342</v>
      </c>
      <c r="B205" s="368">
        <f>25%*B204</f>
        <v>0</v>
      </c>
      <c r="C205" s="369">
        <f>25%*C204</f>
        <v>0</v>
      </c>
      <c r="D205" s="369">
        <f aca="true" t="shared" si="109" ref="D205:O205">25%*D204</f>
        <v>0</v>
      </c>
      <c r="E205" s="369">
        <f t="shared" si="109"/>
        <v>0</v>
      </c>
      <c r="F205" s="369">
        <f t="shared" si="109"/>
        <v>0</v>
      </c>
      <c r="G205" s="369">
        <f t="shared" si="109"/>
        <v>0</v>
      </c>
      <c r="H205" s="369">
        <f t="shared" si="109"/>
        <v>0</v>
      </c>
      <c r="I205" s="369">
        <f t="shared" si="109"/>
        <v>0</v>
      </c>
      <c r="J205" s="369">
        <f t="shared" si="109"/>
        <v>9762.712273990372</v>
      </c>
      <c r="K205" s="369">
        <f t="shared" si="109"/>
        <v>21116.653309635116</v>
      </c>
      <c r="L205" s="369">
        <f t="shared" si="109"/>
        <v>34255.34448130502</v>
      </c>
      <c r="M205" s="369">
        <f t="shared" si="109"/>
        <v>49393.14720797221</v>
      </c>
      <c r="N205" s="369">
        <f t="shared" si="109"/>
        <v>53413.49614330615</v>
      </c>
      <c r="O205" s="818">
        <f t="shared" si="109"/>
        <v>57758.94062853575</v>
      </c>
      <c r="P205" s="21"/>
    </row>
    <row r="206" spans="1:16" s="35" customFormat="1" ht="15">
      <c r="A206" s="32"/>
      <c r="B206" s="368"/>
      <c r="C206" s="369"/>
      <c r="D206" s="369"/>
      <c r="E206" s="369"/>
      <c r="F206" s="369"/>
      <c r="G206" s="369"/>
      <c r="H206" s="369"/>
      <c r="I206" s="369"/>
      <c r="J206" s="369"/>
      <c r="K206" s="369"/>
      <c r="L206" s="369"/>
      <c r="M206" s="369"/>
      <c r="N206" s="369"/>
      <c r="O206" s="818"/>
      <c r="P206" s="21"/>
    </row>
    <row r="207" spans="1:16" s="35" customFormat="1" ht="15">
      <c r="A207" s="43" t="s">
        <v>399</v>
      </c>
      <c r="B207" s="44">
        <f>B204+B205</f>
        <v>0</v>
      </c>
      <c r="C207" s="45">
        <f aca="true" t="shared" si="110" ref="C207:O207">C204+C205</f>
        <v>0</v>
      </c>
      <c r="D207" s="45">
        <f t="shared" si="110"/>
        <v>0</v>
      </c>
      <c r="E207" s="45">
        <f t="shared" si="110"/>
        <v>0</v>
      </c>
      <c r="F207" s="45">
        <f t="shared" si="110"/>
        <v>0</v>
      </c>
      <c r="G207" s="45">
        <f t="shared" si="110"/>
        <v>0</v>
      </c>
      <c r="H207" s="45">
        <f t="shared" si="110"/>
        <v>0</v>
      </c>
      <c r="I207" s="45">
        <f t="shared" si="110"/>
        <v>0</v>
      </c>
      <c r="J207" s="45">
        <f t="shared" si="110"/>
        <v>48813.56136995186</v>
      </c>
      <c r="K207" s="45">
        <f t="shared" si="110"/>
        <v>105583.26654817558</v>
      </c>
      <c r="L207" s="45">
        <f t="shared" si="110"/>
        <v>171276.7224065251</v>
      </c>
      <c r="M207" s="45">
        <f t="shared" si="110"/>
        <v>246965.73603986105</v>
      </c>
      <c r="N207" s="45">
        <f t="shared" si="110"/>
        <v>267067.48071653076</v>
      </c>
      <c r="O207" s="874">
        <f t="shared" si="110"/>
        <v>288794.7031426787</v>
      </c>
      <c r="P207" s="21"/>
    </row>
    <row r="208" spans="1:16" s="35" customFormat="1" ht="15">
      <c r="A208" s="43" t="s">
        <v>69</v>
      </c>
      <c r="B208" s="270">
        <f>B207/(ECO!L$66*1000)</f>
        <v>0</v>
      </c>
      <c r="C208" s="271">
        <f>C207/(ECO!M$66*1000)</f>
        <v>0</v>
      </c>
      <c r="D208" s="271">
        <f>D207/(ECO!N$66*1000)</f>
        <v>0</v>
      </c>
      <c r="E208" s="271">
        <f>E207/(ECO!O$66*1000)</f>
        <v>0</v>
      </c>
      <c r="F208" s="271">
        <f>F207/(ECO!P$66*1000)</f>
        <v>0</v>
      </c>
      <c r="G208" s="271">
        <f>G207/(ECO!Q$66*1000)</f>
        <v>0</v>
      </c>
      <c r="H208" s="271">
        <f>H207/(ECO!R$66*1000)</f>
        <v>0</v>
      </c>
      <c r="I208" s="271">
        <f>I207/(ECO!S$66*1000)</f>
        <v>0</v>
      </c>
      <c r="J208" s="271">
        <f>J207/(ECO!T$66*1000)</f>
        <v>0.0018624489403118883</v>
      </c>
      <c r="K208" s="271">
        <f>K207/(ECO!U$66*1000)</f>
        <v>0.0038004332560909425</v>
      </c>
      <c r="L208" s="271">
        <f>L207/(ECO!V$66*1000)</f>
        <v>0.0058160816389476264</v>
      </c>
      <c r="M208" s="271">
        <f>M207/(ECO!W$66*1000)</f>
        <v>0.007911575714130757</v>
      </c>
      <c r="N208" s="271">
        <f>N207/(ECO!X$66*1000)</f>
        <v>0.00807126171057934</v>
      </c>
      <c r="O208" s="968">
        <f>O207/(ECO!Y$66*1000)</f>
        <v>0.008233865680546718</v>
      </c>
      <c r="P208" s="21"/>
    </row>
    <row r="209" spans="1:16" s="35" customFormat="1" ht="15">
      <c r="A209" s="969" t="s">
        <v>71</v>
      </c>
      <c r="B209" s="1010">
        <f>B207/('GGO (SQ)'!L$24*1000)</f>
        <v>0</v>
      </c>
      <c r="C209" s="1011">
        <f>C207/('GGO (SQ)'!M$24*1000)</f>
        <v>0</v>
      </c>
      <c r="D209" s="1011">
        <f>D207/('GGO (SQ)'!N$24*1000)</f>
        <v>0</v>
      </c>
      <c r="E209" s="1011">
        <f>E207/('GGO (SQ)'!O$24*1000)</f>
        <v>0</v>
      </c>
      <c r="F209" s="1011">
        <f>F207/('GGO (SQ)'!P$24*1000)</f>
        <v>0</v>
      </c>
      <c r="G209" s="1011">
        <f>G207/('GGO (SQ)'!Q$24*1000)</f>
        <v>0</v>
      </c>
      <c r="H209" s="1011">
        <f>H207/('GGO (SQ)'!R$24*1000)</f>
        <v>0</v>
      </c>
      <c r="I209" s="1011">
        <f>I207/('GGO (SQ)'!S$24*1000)</f>
        <v>0</v>
      </c>
      <c r="J209" s="1011">
        <f>J207/('GGO (SQ)'!T$24*1000)</f>
        <v>0.011874219974627008</v>
      </c>
      <c r="K209" s="1011">
        <f>K207/('GGO (SQ)'!U$24*1000)</f>
        <v>0.02423002290422779</v>
      </c>
      <c r="L209" s="1011">
        <f>L207/('GGO (SQ)'!V$24*1000)</f>
        <v>0.03708098046418828</v>
      </c>
      <c r="M209" s="1011">
        <f>M207/('GGO (SQ)'!W$24*1000)</f>
        <v>0.05044100181332938</v>
      </c>
      <c r="N209" s="1011">
        <f>N207/('GGO (SQ)'!X$24*1000)</f>
        <v>0.05145909503868269</v>
      </c>
      <c r="O209" s="1012">
        <f>O207/('GGO (SQ)'!Y$24*1000)</f>
        <v>0.052495792081135285</v>
      </c>
      <c r="P209" s="21"/>
    </row>
    <row r="211" spans="1:16" ht="14.25" customHeight="1">
      <c r="A211" s="1117" t="s">
        <v>529</v>
      </c>
      <c r="B211" s="1118"/>
      <c r="C211" s="1118"/>
      <c r="D211" s="1118"/>
      <c r="E211" s="1118"/>
      <c r="F211" s="1118"/>
      <c r="G211" s="1118"/>
      <c r="H211" s="1118"/>
      <c r="I211" s="1118"/>
      <c r="J211" s="1118"/>
      <c r="K211" s="1118"/>
      <c r="L211" s="1118"/>
      <c r="M211" s="1118"/>
      <c r="N211" s="1118"/>
      <c r="O211" s="1119"/>
      <c r="P211" s="1113" t="s">
        <v>606</v>
      </c>
    </row>
    <row r="212" spans="1:16" ht="14.25" customHeight="1">
      <c r="A212" s="1006"/>
      <c r="B212" s="1137" t="s">
        <v>340</v>
      </c>
      <c r="C212" s="1137"/>
      <c r="D212" s="1137"/>
      <c r="E212" s="1137"/>
      <c r="F212" s="1137"/>
      <c r="G212" s="1007">
        <v>100</v>
      </c>
      <c r="H212" s="1008"/>
      <c r="I212" s="1002"/>
      <c r="J212" s="1013"/>
      <c r="K212" s="1013"/>
      <c r="L212" s="1013"/>
      <c r="M212" s="1013"/>
      <c r="N212" s="1013"/>
      <c r="O212" s="1009"/>
      <c r="P212" s="1113"/>
    </row>
    <row r="213" spans="1:16" ht="15">
      <c r="A213" s="30" t="s">
        <v>386</v>
      </c>
      <c r="B213" s="368">
        <f>ECO!L39*50%</f>
        <v>1898.8286499999997</v>
      </c>
      <c r="C213" s="369">
        <f>ECO!M39*50%</f>
        <v>1923.1549349999998</v>
      </c>
      <c r="D213" s="369">
        <f>ECO!N39*50%</f>
        <v>1945.9915199999998</v>
      </c>
      <c r="E213" s="369">
        <f>ECO!O39*50%</f>
        <v>1968.0148</v>
      </c>
      <c r="F213" s="369">
        <f>ECO!P39*50%</f>
        <v>1989.90525</v>
      </c>
      <c r="G213" s="369">
        <f>ECO!Q39*50%</f>
        <v>2011.82793</v>
      </c>
      <c r="H213" s="369">
        <f>ECO!R39*50%</f>
        <v>2033.6619599999997</v>
      </c>
      <c r="I213" s="369">
        <f>ECO!S39*50%</f>
        <v>2055.493065</v>
      </c>
      <c r="J213" s="369">
        <f>ECO!T39*50%</f>
        <v>2077.1405699999996</v>
      </c>
      <c r="K213" s="369">
        <f>ECO!U39*50%</f>
        <v>2098.09525</v>
      </c>
      <c r="L213" s="369">
        <f>ECO!V39*50%</f>
        <v>2118.03464</v>
      </c>
      <c r="M213" s="369">
        <f>ECO!W39*50%</f>
        <v>2137.16412</v>
      </c>
      <c r="N213" s="369">
        <f>ECO!X39*50%</f>
        <v>2155.28918</v>
      </c>
      <c r="O213" s="818">
        <f>ECO!Y39*50%</f>
        <v>2172.48989</v>
      </c>
      <c r="P213" s="1113"/>
    </row>
    <row r="214" spans="1:16" s="35" customFormat="1" ht="15">
      <c r="A214" s="32" t="s">
        <v>74</v>
      </c>
      <c r="B214" s="370">
        <v>0</v>
      </c>
      <c r="C214" s="371">
        <v>0</v>
      </c>
      <c r="D214" s="371">
        <v>0</v>
      </c>
      <c r="E214" s="371">
        <v>0</v>
      </c>
      <c r="F214" s="371">
        <v>0</v>
      </c>
      <c r="G214" s="371">
        <v>0</v>
      </c>
      <c r="H214" s="371">
        <v>0</v>
      </c>
      <c r="I214" s="371">
        <v>0</v>
      </c>
      <c r="J214" s="371">
        <v>0.25</v>
      </c>
      <c r="K214" s="371">
        <v>0.5</v>
      </c>
      <c r="L214" s="371">
        <v>0.75</v>
      </c>
      <c r="M214" s="371">
        <v>1</v>
      </c>
      <c r="N214" s="371">
        <v>1</v>
      </c>
      <c r="O214" s="870">
        <v>1</v>
      </c>
      <c r="P214" s="1113"/>
    </row>
    <row r="215" spans="1:16" s="35" customFormat="1" ht="15">
      <c r="A215" s="32" t="s">
        <v>70</v>
      </c>
      <c r="B215" s="368">
        <f>B213*B214</f>
        <v>0</v>
      </c>
      <c r="C215" s="369">
        <f aca="true" t="shared" si="111" ref="C215:O215">C213*C214</f>
        <v>0</v>
      </c>
      <c r="D215" s="369">
        <f t="shared" si="111"/>
        <v>0</v>
      </c>
      <c r="E215" s="369">
        <f t="shared" si="111"/>
        <v>0</v>
      </c>
      <c r="F215" s="369">
        <f t="shared" si="111"/>
        <v>0</v>
      </c>
      <c r="G215" s="369">
        <f t="shared" si="111"/>
        <v>0</v>
      </c>
      <c r="H215" s="369">
        <f t="shared" si="111"/>
        <v>0</v>
      </c>
      <c r="I215" s="369">
        <f t="shared" si="111"/>
        <v>0</v>
      </c>
      <c r="J215" s="369">
        <f t="shared" si="111"/>
        <v>519.2851424999999</v>
      </c>
      <c r="K215" s="369">
        <f t="shared" si="111"/>
        <v>1049.047625</v>
      </c>
      <c r="L215" s="369">
        <f t="shared" si="111"/>
        <v>1588.52598</v>
      </c>
      <c r="M215" s="369">
        <f t="shared" si="111"/>
        <v>2137.16412</v>
      </c>
      <c r="N215" s="369">
        <f t="shared" si="111"/>
        <v>2155.28918</v>
      </c>
      <c r="O215" s="818">
        <f t="shared" si="111"/>
        <v>2172.48989</v>
      </c>
      <c r="P215" s="1113"/>
    </row>
    <row r="216" spans="1:16" s="35" customFormat="1" ht="15">
      <c r="A216" s="32"/>
      <c r="B216" s="368"/>
      <c r="C216" s="369"/>
      <c r="D216" s="369"/>
      <c r="E216" s="369"/>
      <c r="F216" s="369"/>
      <c r="G216" s="369"/>
      <c r="H216" s="369"/>
      <c r="I216" s="369"/>
      <c r="J216" s="369"/>
      <c r="K216" s="369"/>
      <c r="L216" s="369"/>
      <c r="M216" s="369"/>
      <c r="N216" s="369"/>
      <c r="O216" s="818"/>
      <c r="P216" s="1113"/>
    </row>
    <row r="217" spans="1:16" s="35" customFormat="1" ht="15">
      <c r="A217" s="692" t="s">
        <v>343</v>
      </c>
      <c r="B217" s="368"/>
      <c r="C217" s="369"/>
      <c r="D217" s="369"/>
      <c r="E217" s="369"/>
      <c r="F217" s="369"/>
      <c r="G217" s="369"/>
      <c r="H217" s="369"/>
      <c r="I217" s="369"/>
      <c r="J217" s="369"/>
      <c r="K217" s="369"/>
      <c r="L217" s="369"/>
      <c r="M217" s="369"/>
      <c r="N217" s="369"/>
      <c r="O217" s="818"/>
      <c r="P217" s="1113"/>
    </row>
    <row r="218" spans="1:16" s="35" customFormat="1" ht="15">
      <c r="A218" s="32" t="s">
        <v>341</v>
      </c>
      <c r="B218" s="368">
        <f>ECO!L79*$G$212</f>
        <v>21000</v>
      </c>
      <c r="C218" s="369">
        <f>ECO!M79*$G$212</f>
        <v>22384.447701736837</v>
      </c>
      <c r="D218" s="369">
        <f>ECO!N79*$G$212</f>
        <v>24154.349134883356</v>
      </c>
      <c r="E218" s="369">
        <f>ECO!O79*$G$212</f>
        <v>25809.935314873775</v>
      </c>
      <c r="F218" s="369">
        <f>ECO!P79*$G$212</f>
        <v>27815.430687121</v>
      </c>
      <c r="G218" s="369">
        <f>ECO!Q79*$G$212</f>
        <v>29782.423050286594</v>
      </c>
      <c r="H218" s="369">
        <f>ECO!R79*$G$212</f>
        <v>31891.940683610737</v>
      </c>
      <c r="I218" s="369">
        <f>ECO!S79*$G$212</f>
        <v>34153.06039783894</v>
      </c>
      <c r="J218" s="369">
        <f>ECO!T79*$G$212</f>
        <v>36579.77285808316</v>
      </c>
      <c r="K218" s="369">
        <f>ECO!U79*$G$212</f>
        <v>39193.54199254889</v>
      </c>
      <c r="L218" s="369">
        <f>ECO!V79*$G$212</f>
        <v>42015.40471364414</v>
      </c>
      <c r="M218" s="369">
        <f>ECO!W79*$G$212</f>
        <v>45058.36871470477</v>
      </c>
      <c r="N218" s="369">
        <f>ECO!X79*$G$212</f>
        <v>48344.56271798056</v>
      </c>
      <c r="O218" s="818">
        <f>ECO!Y79*$G$212</f>
        <v>51892.34786245813</v>
      </c>
      <c r="P218" s="1113"/>
    </row>
    <row r="219" spans="1:16" s="35" customFormat="1" ht="15">
      <c r="A219" s="32" t="s">
        <v>345</v>
      </c>
      <c r="B219" s="368">
        <f>B215*B218/1000</f>
        <v>0</v>
      </c>
      <c r="C219" s="369">
        <f aca="true" t="shared" si="112" ref="C219:H219">C215*C218/1000</f>
        <v>0</v>
      </c>
      <c r="D219" s="369">
        <f t="shared" si="112"/>
        <v>0</v>
      </c>
      <c r="E219" s="369">
        <f t="shared" si="112"/>
        <v>0</v>
      </c>
      <c r="F219" s="369">
        <f t="shared" si="112"/>
        <v>0</v>
      </c>
      <c r="G219" s="369">
        <f t="shared" si="112"/>
        <v>0</v>
      </c>
      <c r="H219" s="369">
        <f t="shared" si="112"/>
        <v>0</v>
      </c>
      <c r="I219" s="369">
        <f>I215*I218/1000</f>
        <v>0</v>
      </c>
      <c r="J219" s="369">
        <f aca="true" t="shared" si="113" ref="J219:O219">J215*J218/1000</f>
        <v>18995.332561227344</v>
      </c>
      <c r="K219" s="369">
        <f t="shared" si="113"/>
        <v>41115.892142621175</v>
      </c>
      <c r="L219" s="369">
        <f t="shared" si="113"/>
        <v>66742.56194783817</v>
      </c>
      <c r="M219" s="369">
        <f t="shared" si="113"/>
        <v>96297.12892279755</v>
      </c>
      <c r="N219" s="369">
        <f t="shared" si="113"/>
        <v>104196.51293789489</v>
      </c>
      <c r="O219" s="818">
        <f t="shared" si="113"/>
        <v>112735.60109955339</v>
      </c>
      <c r="P219" s="1113"/>
    </row>
    <row r="220" spans="1:16" s="35" customFormat="1" ht="15">
      <c r="A220" s="32"/>
      <c r="B220" s="368"/>
      <c r="C220" s="369"/>
      <c r="D220" s="369"/>
      <c r="E220" s="369"/>
      <c r="F220" s="369"/>
      <c r="G220" s="369"/>
      <c r="H220" s="369"/>
      <c r="I220" s="369"/>
      <c r="J220" s="369"/>
      <c r="K220" s="369"/>
      <c r="L220" s="369"/>
      <c r="M220" s="369"/>
      <c r="N220" s="369"/>
      <c r="O220" s="818"/>
      <c r="P220" s="1113"/>
    </row>
    <row r="221" spans="1:16" s="35" customFormat="1" ht="15">
      <c r="A221" s="692" t="s">
        <v>346</v>
      </c>
      <c r="B221" s="368"/>
      <c r="C221" s="369"/>
      <c r="D221" s="369"/>
      <c r="E221" s="369"/>
      <c r="F221" s="369"/>
      <c r="G221" s="369"/>
      <c r="H221" s="369"/>
      <c r="I221" s="369"/>
      <c r="J221" s="369"/>
      <c r="K221" s="369"/>
      <c r="L221" s="369"/>
      <c r="M221" s="369"/>
      <c r="N221" s="369"/>
      <c r="O221" s="818"/>
      <c r="P221" s="1113"/>
    </row>
    <row r="222" spans="1:16" s="35" customFormat="1" ht="15">
      <c r="A222" s="32" t="s">
        <v>347</v>
      </c>
      <c r="B222" s="368">
        <f>11%*ECO!L79*$G$212</f>
        <v>2310</v>
      </c>
      <c r="C222" s="369">
        <f>11%*ECO!M79*$G$212</f>
        <v>2462.2892471910523</v>
      </c>
      <c r="D222" s="369">
        <f>11%*ECO!N79*$G$212</f>
        <v>2656.978404837169</v>
      </c>
      <c r="E222" s="369">
        <f>11%*ECO!O79*$G$212</f>
        <v>2839.0928846361153</v>
      </c>
      <c r="F222" s="369">
        <f>11%*ECO!P79*$G$212</f>
        <v>3059.69737558331</v>
      </c>
      <c r="G222" s="369">
        <f>11%*ECO!Q79*$G$212</f>
        <v>3276.0665355315255</v>
      </c>
      <c r="H222" s="369">
        <f>11%*ECO!R79*$G$212</f>
        <v>3508.113475197181</v>
      </c>
      <c r="I222" s="369">
        <f>11%*ECO!S79*$G$212</f>
        <v>3756.8366437622835</v>
      </c>
      <c r="J222" s="369">
        <f>11%*ECO!T79*$G$212</f>
        <v>4023.775014389148</v>
      </c>
      <c r="K222" s="369">
        <f>11%*ECO!U79*$G$212</f>
        <v>4311.289619180378</v>
      </c>
      <c r="L222" s="369">
        <f>11%*ECO!V79*$G$212</f>
        <v>4621.694518500854</v>
      </c>
      <c r="M222" s="369">
        <f>11%*ECO!W79*$G$212</f>
        <v>4956.420558617524</v>
      </c>
      <c r="N222" s="369">
        <f>11%*ECO!X79*$G$212</f>
        <v>5317.9018989778615</v>
      </c>
      <c r="O222" s="818">
        <f>11%*ECO!Y79*$G$212</f>
        <v>5708.158264870394</v>
      </c>
      <c r="P222" s="1113"/>
    </row>
    <row r="223" spans="1:16" s="35" customFormat="1" ht="15">
      <c r="A223" s="32" t="s">
        <v>348</v>
      </c>
      <c r="B223" s="368">
        <f>2400*(100/5/4/12)</f>
        <v>1000</v>
      </c>
      <c r="C223" s="369">
        <f aca="true" t="shared" si="114" ref="C223:O223">2400*(100/5/4/12)</f>
        <v>1000</v>
      </c>
      <c r="D223" s="369">
        <f t="shared" si="114"/>
        <v>1000</v>
      </c>
      <c r="E223" s="369">
        <f t="shared" si="114"/>
        <v>1000</v>
      </c>
      <c r="F223" s="369">
        <f t="shared" si="114"/>
        <v>1000</v>
      </c>
      <c r="G223" s="369">
        <f t="shared" si="114"/>
        <v>1000</v>
      </c>
      <c r="H223" s="369">
        <f t="shared" si="114"/>
        <v>1000</v>
      </c>
      <c r="I223" s="369">
        <f t="shared" si="114"/>
        <v>1000</v>
      </c>
      <c r="J223" s="369">
        <f t="shared" si="114"/>
        <v>1000</v>
      </c>
      <c r="K223" s="369">
        <f t="shared" si="114"/>
        <v>1000</v>
      </c>
      <c r="L223" s="369">
        <f t="shared" si="114"/>
        <v>1000</v>
      </c>
      <c r="M223" s="369">
        <f t="shared" si="114"/>
        <v>1000</v>
      </c>
      <c r="N223" s="369">
        <f t="shared" si="114"/>
        <v>1000</v>
      </c>
      <c r="O223" s="818">
        <f t="shared" si="114"/>
        <v>1000</v>
      </c>
      <c r="P223" s="1113"/>
    </row>
    <row r="224" spans="1:16" s="35" customFormat="1" ht="15">
      <c r="A224" s="32" t="s">
        <v>350</v>
      </c>
      <c r="B224" s="368">
        <f>(B222+B223)*B215/1000</f>
        <v>0</v>
      </c>
      <c r="C224" s="369">
        <f aca="true" t="shared" si="115" ref="C224:O224">(C222+C223)*C215/1000</f>
        <v>0</v>
      </c>
      <c r="D224" s="369">
        <f t="shared" si="115"/>
        <v>0</v>
      </c>
      <c r="E224" s="369">
        <f t="shared" si="115"/>
        <v>0</v>
      </c>
      <c r="F224" s="369">
        <f t="shared" si="115"/>
        <v>0</v>
      </c>
      <c r="G224" s="369">
        <f t="shared" si="115"/>
        <v>0</v>
      </c>
      <c r="H224" s="369">
        <f t="shared" si="115"/>
        <v>0</v>
      </c>
      <c r="I224" s="369">
        <f t="shared" si="115"/>
        <v>0</v>
      </c>
      <c r="J224" s="369">
        <f t="shared" si="115"/>
        <v>2608.7717242350077</v>
      </c>
      <c r="K224" s="369">
        <f t="shared" si="115"/>
        <v>5571.79576068833</v>
      </c>
      <c r="L224" s="369">
        <f t="shared" si="115"/>
        <v>8930.207794262196</v>
      </c>
      <c r="M224" s="369">
        <f t="shared" si="115"/>
        <v>12729.848301507729</v>
      </c>
      <c r="N224" s="369">
        <f t="shared" si="115"/>
        <v>13616.90560316844</v>
      </c>
      <c r="O224" s="818">
        <f t="shared" si="115"/>
        <v>14573.406010950872</v>
      </c>
      <c r="P224" s="1113"/>
    </row>
    <row r="225" spans="1:16" s="35" customFormat="1" ht="15">
      <c r="A225" s="32"/>
      <c r="B225" s="368"/>
      <c r="C225" s="369"/>
      <c r="D225" s="369"/>
      <c r="E225" s="369"/>
      <c r="F225" s="369"/>
      <c r="G225" s="369"/>
      <c r="H225" s="369"/>
      <c r="I225" s="369"/>
      <c r="J225" s="369"/>
      <c r="K225" s="369"/>
      <c r="L225" s="369"/>
      <c r="M225" s="369"/>
      <c r="N225" s="369"/>
      <c r="O225" s="818"/>
      <c r="P225" s="1113"/>
    </row>
    <row r="226" spans="1:16" s="35" customFormat="1" ht="15">
      <c r="A226" s="32" t="s">
        <v>389</v>
      </c>
      <c r="B226" s="368">
        <f>B218+B222+B223</f>
        <v>24310</v>
      </c>
      <c r="C226" s="369">
        <f aca="true" t="shared" si="116" ref="C226:O226">C218+C222+C223</f>
        <v>25846.73694892789</v>
      </c>
      <c r="D226" s="369">
        <f t="shared" si="116"/>
        <v>27811.327539720525</v>
      </c>
      <c r="E226" s="369">
        <f t="shared" si="116"/>
        <v>29649.028199509892</v>
      </c>
      <c r="F226" s="369">
        <f t="shared" si="116"/>
        <v>31875.12806270431</v>
      </c>
      <c r="G226" s="369">
        <f t="shared" si="116"/>
        <v>34058.48958581812</v>
      </c>
      <c r="H226" s="369">
        <f t="shared" si="116"/>
        <v>36400.05415880792</v>
      </c>
      <c r="I226" s="369">
        <f t="shared" si="116"/>
        <v>38909.89704160122</v>
      </c>
      <c r="J226" s="369">
        <f t="shared" si="116"/>
        <v>41603.54787247231</v>
      </c>
      <c r="K226" s="369">
        <f t="shared" si="116"/>
        <v>44504.83161172927</v>
      </c>
      <c r="L226" s="369">
        <f t="shared" si="116"/>
        <v>47637.09923214499</v>
      </c>
      <c r="M226" s="369">
        <f t="shared" si="116"/>
        <v>51014.78927332229</v>
      </c>
      <c r="N226" s="369">
        <f t="shared" si="116"/>
        <v>54662.46461695842</v>
      </c>
      <c r="O226" s="818">
        <f t="shared" si="116"/>
        <v>58600.506127328525</v>
      </c>
      <c r="P226" s="1113"/>
    </row>
    <row r="227" spans="1:16" s="35" customFormat="1" ht="15">
      <c r="A227" s="32" t="s">
        <v>349</v>
      </c>
      <c r="B227" s="368">
        <f>B219+B224</f>
        <v>0</v>
      </c>
      <c r="C227" s="369">
        <f aca="true" t="shared" si="117" ref="C227:H227">C219+C224</f>
        <v>0</v>
      </c>
      <c r="D227" s="369">
        <f t="shared" si="117"/>
        <v>0</v>
      </c>
      <c r="E227" s="369">
        <f t="shared" si="117"/>
        <v>0</v>
      </c>
      <c r="F227" s="369">
        <f t="shared" si="117"/>
        <v>0</v>
      </c>
      <c r="G227" s="369">
        <f t="shared" si="117"/>
        <v>0</v>
      </c>
      <c r="H227" s="369">
        <f t="shared" si="117"/>
        <v>0</v>
      </c>
      <c r="I227" s="369">
        <f>I219+I224</f>
        <v>0</v>
      </c>
      <c r="J227" s="369">
        <f aca="true" t="shared" si="118" ref="J227:O227">J219+J224</f>
        <v>21604.104285462352</v>
      </c>
      <c r="K227" s="369">
        <f t="shared" si="118"/>
        <v>46687.6879033095</v>
      </c>
      <c r="L227" s="369">
        <f t="shared" si="118"/>
        <v>75672.76974210037</v>
      </c>
      <c r="M227" s="369">
        <f t="shared" si="118"/>
        <v>109026.97722430527</v>
      </c>
      <c r="N227" s="369">
        <f t="shared" si="118"/>
        <v>117813.41854106334</v>
      </c>
      <c r="O227" s="818">
        <f t="shared" si="118"/>
        <v>127309.00711050426</v>
      </c>
      <c r="P227" s="1113"/>
    </row>
    <row r="228" spans="1:16" s="35" customFormat="1" ht="15">
      <c r="A228" s="32" t="s">
        <v>342</v>
      </c>
      <c r="B228" s="368">
        <f>25%*B227</f>
        <v>0</v>
      </c>
      <c r="C228" s="369">
        <f>25%*C227</f>
        <v>0</v>
      </c>
      <c r="D228" s="369">
        <f aca="true" t="shared" si="119" ref="D228:O228">25%*D227</f>
        <v>0</v>
      </c>
      <c r="E228" s="369">
        <f t="shared" si="119"/>
        <v>0</v>
      </c>
      <c r="F228" s="369">
        <f t="shared" si="119"/>
        <v>0</v>
      </c>
      <c r="G228" s="369">
        <f t="shared" si="119"/>
        <v>0</v>
      </c>
      <c r="H228" s="369">
        <f t="shared" si="119"/>
        <v>0</v>
      </c>
      <c r="I228" s="369">
        <f t="shared" si="119"/>
        <v>0</v>
      </c>
      <c r="J228" s="369">
        <f t="shared" si="119"/>
        <v>5401.026071365588</v>
      </c>
      <c r="K228" s="369">
        <f t="shared" si="119"/>
        <v>11671.921975827376</v>
      </c>
      <c r="L228" s="369">
        <f t="shared" si="119"/>
        <v>18918.192435525092</v>
      </c>
      <c r="M228" s="369">
        <f t="shared" si="119"/>
        <v>27256.744306076318</v>
      </c>
      <c r="N228" s="369">
        <f t="shared" si="119"/>
        <v>29453.354635265834</v>
      </c>
      <c r="O228" s="818">
        <f t="shared" si="119"/>
        <v>31827.251777626065</v>
      </c>
      <c r="P228" s="1113"/>
    </row>
    <row r="229" spans="1:16" s="35" customFormat="1" ht="15">
      <c r="A229" s="32"/>
      <c r="B229" s="368"/>
      <c r="C229" s="369"/>
      <c r="D229" s="369"/>
      <c r="E229" s="369"/>
      <c r="F229" s="369"/>
      <c r="G229" s="369"/>
      <c r="H229" s="369"/>
      <c r="I229" s="369"/>
      <c r="J229" s="369"/>
      <c r="K229" s="369"/>
      <c r="L229" s="369"/>
      <c r="M229" s="369"/>
      <c r="N229" s="369"/>
      <c r="O229" s="818"/>
      <c r="P229" s="1113"/>
    </row>
    <row r="230" spans="1:16" s="35" customFormat="1" ht="15">
      <c r="A230" s="43" t="s">
        <v>420</v>
      </c>
      <c r="B230" s="44">
        <f>B227+B228</f>
        <v>0</v>
      </c>
      <c r="C230" s="45">
        <f aca="true" t="shared" si="120" ref="C230:O230">C227+C228</f>
        <v>0</v>
      </c>
      <c r="D230" s="45">
        <f t="shared" si="120"/>
        <v>0</v>
      </c>
      <c r="E230" s="45">
        <f t="shared" si="120"/>
        <v>0</v>
      </c>
      <c r="F230" s="45">
        <f t="shared" si="120"/>
        <v>0</v>
      </c>
      <c r="G230" s="45">
        <f t="shared" si="120"/>
        <v>0</v>
      </c>
      <c r="H230" s="45">
        <f t="shared" si="120"/>
        <v>0</v>
      </c>
      <c r="I230" s="45">
        <f t="shared" si="120"/>
        <v>0</v>
      </c>
      <c r="J230" s="45">
        <f t="shared" si="120"/>
        <v>27005.13035682794</v>
      </c>
      <c r="K230" s="45">
        <f t="shared" si="120"/>
        <v>58359.60987913688</v>
      </c>
      <c r="L230" s="45">
        <f t="shared" si="120"/>
        <v>94590.96217762546</v>
      </c>
      <c r="M230" s="45">
        <f t="shared" si="120"/>
        <v>136283.7215303816</v>
      </c>
      <c r="N230" s="45">
        <f t="shared" si="120"/>
        <v>147266.77317632918</v>
      </c>
      <c r="O230" s="874">
        <f t="shared" si="120"/>
        <v>159136.2588881303</v>
      </c>
      <c r="P230" s="1113"/>
    </row>
    <row r="231" spans="1:16" s="35" customFormat="1" ht="15">
      <c r="A231" s="43" t="s">
        <v>69</v>
      </c>
      <c r="B231" s="270">
        <f>B230/(ECO!L$66*1000)</f>
        <v>0</v>
      </c>
      <c r="C231" s="271">
        <f>C230/(ECO!M$66*1000)</f>
        <v>0</v>
      </c>
      <c r="D231" s="271">
        <f>D230/(ECO!N$66*1000)</f>
        <v>0</v>
      </c>
      <c r="E231" s="271">
        <f>E230/(ECO!O$66*1000)</f>
        <v>0</v>
      </c>
      <c r="F231" s="271">
        <f>F230/(ECO!P$66*1000)</f>
        <v>0</v>
      </c>
      <c r="G231" s="271">
        <f>G230/(ECO!Q$66*1000)</f>
        <v>0</v>
      </c>
      <c r="H231" s="271">
        <f>H230/(ECO!R$66*1000)</f>
        <v>0</v>
      </c>
      <c r="I231" s="271">
        <f>I230/(ECO!S$66*1000)</f>
        <v>0</v>
      </c>
      <c r="J231" s="271">
        <f>J230/(ECO!T$66*1000)</f>
        <v>0.0010303627722401565</v>
      </c>
      <c r="K231" s="271">
        <f>K230/(ECO!U$66*1000)</f>
        <v>0.0021006340251460776</v>
      </c>
      <c r="L231" s="271">
        <f>L230/(ECO!V$66*1000)</f>
        <v>0.0032120462757682824</v>
      </c>
      <c r="M231" s="271">
        <f>M230/(ECO!W$66*1000)</f>
        <v>0.00436586466924747</v>
      </c>
      <c r="N231" s="271">
        <f>N230/(ECO!X$66*1000)</f>
        <v>0.004450667915051424</v>
      </c>
      <c r="O231" s="968">
        <f>O230/(ECO!Y$66*1000)</f>
        <v>0.004537155863077649</v>
      </c>
      <c r="P231" s="1113"/>
    </row>
    <row r="232" spans="1:16" s="35" customFormat="1" ht="15">
      <c r="A232" s="43" t="s">
        <v>71</v>
      </c>
      <c r="B232" s="270">
        <f>B230/('GGO (SQ)'!L$24*1000)</f>
        <v>0</v>
      </c>
      <c r="C232" s="271">
        <f>C230/('GGO (SQ)'!M$24*1000)</f>
        <v>0</v>
      </c>
      <c r="D232" s="271">
        <f>D230/('GGO (SQ)'!N$24*1000)</f>
        <v>0</v>
      </c>
      <c r="E232" s="271">
        <f>E230/('GGO (SQ)'!O$24*1000)</f>
        <v>0</v>
      </c>
      <c r="F232" s="271">
        <f>F230/('GGO (SQ)'!P$24*1000)</f>
        <v>0</v>
      </c>
      <c r="G232" s="271">
        <f>G230/('GGO (SQ)'!Q$24*1000)</f>
        <v>0</v>
      </c>
      <c r="H232" s="271">
        <f>H230/('GGO (SQ)'!R$24*1000)</f>
        <v>0</v>
      </c>
      <c r="I232" s="271">
        <f>I230/('GGO (SQ)'!S$24*1000)</f>
        <v>0</v>
      </c>
      <c r="J232" s="271">
        <f>J230/('GGO (SQ)'!T$24*1000)</f>
        <v>0.0065691756409693965</v>
      </c>
      <c r="K232" s="271">
        <f>K230/('GGO (SQ)'!U$24*1000)</f>
        <v>0.013392791587936707</v>
      </c>
      <c r="L232" s="271">
        <f>L230/('GGO (SQ)'!V$24*1000)</f>
        <v>0.020478705870329503</v>
      </c>
      <c r="M232" s="271">
        <f>M230/('GGO (SQ)'!W$24*1000)</f>
        <v>0.027834984541060884</v>
      </c>
      <c r="N232" s="271">
        <f>N230/('GGO (SQ)'!X$24*1000)</f>
        <v>0.02837565568293384</v>
      </c>
      <c r="O232" s="968">
        <f>O230/('GGO (SQ)'!Y$24*1000)</f>
        <v>0.02892706780371151</v>
      </c>
      <c r="P232" s="1113"/>
    </row>
    <row r="233" spans="1:16" s="35" customFormat="1" ht="15">
      <c r="A233" s="32"/>
      <c r="B233" s="368"/>
      <c r="C233" s="369"/>
      <c r="D233" s="369"/>
      <c r="E233" s="369"/>
      <c r="F233" s="369"/>
      <c r="G233" s="369"/>
      <c r="H233" s="369"/>
      <c r="I233" s="369"/>
      <c r="J233" s="369"/>
      <c r="K233" s="369"/>
      <c r="L233" s="369"/>
      <c r="M233" s="369"/>
      <c r="N233" s="369"/>
      <c r="O233" s="818"/>
      <c r="P233" s="1113"/>
    </row>
    <row r="234" spans="1:16" s="35" customFormat="1" ht="15">
      <c r="A234" s="692" t="s">
        <v>344</v>
      </c>
      <c r="B234" s="368"/>
      <c r="C234" s="369"/>
      <c r="D234" s="369"/>
      <c r="E234" s="369"/>
      <c r="F234" s="369"/>
      <c r="G234" s="369"/>
      <c r="H234" s="369"/>
      <c r="I234" s="369"/>
      <c r="J234" s="369"/>
      <c r="K234" s="369"/>
      <c r="L234" s="369"/>
      <c r="M234" s="369"/>
      <c r="N234" s="369"/>
      <c r="O234" s="818"/>
      <c r="P234" s="1113"/>
    </row>
    <row r="235" spans="1:16" s="35" customFormat="1" ht="15">
      <c r="A235" s="32" t="s">
        <v>341</v>
      </c>
      <c r="B235" s="368">
        <f>ECO!L80*$G$212</f>
        <v>48100</v>
      </c>
      <c r="C235" s="369">
        <f>ECO!M80*$G$212</f>
        <v>51271.044497787705</v>
      </c>
      <c r="D235" s="369">
        <f>ECO!N80*$G$212</f>
        <v>55324.96158989949</v>
      </c>
      <c r="E235" s="369">
        <f>ECO!O80*$G$212</f>
        <v>59117.04231644896</v>
      </c>
      <c r="F235" s="369">
        <f>ECO!P80*$G$212</f>
        <v>63710.58171669142</v>
      </c>
      <c r="G235" s="369">
        <f>ECO!Q80*$G$212</f>
        <v>68215.9308913707</v>
      </c>
      <c r="H235" s="369">
        <f>ECO!R80*$G$212</f>
        <v>73047.73080388935</v>
      </c>
      <c r="I235" s="369">
        <f>ECO!S80*$G$212</f>
        <v>78226.77167314538</v>
      </c>
      <c r="J235" s="369">
        <f>ECO!T80*$G$212</f>
        <v>83785.09878446667</v>
      </c>
      <c r="K235" s="369">
        <f>ECO!U80*$G$212</f>
        <v>89771.87475436198</v>
      </c>
      <c r="L235" s="369">
        <f>ECO!V80*$G$212</f>
        <v>96235.28412982299</v>
      </c>
      <c r="M235" s="369">
        <f>ECO!W80*$G$212</f>
        <v>103205.12072272852</v>
      </c>
      <c r="N235" s="369">
        <f>ECO!X80*$G$212</f>
        <v>110732.06984451736</v>
      </c>
      <c r="O235" s="818">
        <f>ECO!Y80*$G$212</f>
        <v>118858.18724686836</v>
      </c>
      <c r="P235" s="1113"/>
    </row>
    <row r="236" spans="1:16" s="35" customFormat="1" ht="15">
      <c r="A236" s="32" t="s">
        <v>345</v>
      </c>
      <c r="B236" s="368">
        <f aca="true" t="shared" si="121" ref="B236:O236">B215*B235/1000</f>
        <v>0</v>
      </c>
      <c r="C236" s="369">
        <f t="shared" si="121"/>
        <v>0</v>
      </c>
      <c r="D236" s="369">
        <f t="shared" si="121"/>
        <v>0</v>
      </c>
      <c r="E236" s="369">
        <f t="shared" si="121"/>
        <v>0</v>
      </c>
      <c r="F236" s="369">
        <f t="shared" si="121"/>
        <v>0</v>
      </c>
      <c r="G236" s="369">
        <f t="shared" si="121"/>
        <v>0</v>
      </c>
      <c r="H236" s="369">
        <f t="shared" si="121"/>
        <v>0</v>
      </c>
      <c r="I236" s="369">
        <f t="shared" si="121"/>
        <v>0</v>
      </c>
      <c r="J236" s="369">
        <f t="shared" si="121"/>
        <v>43508.356961668345</v>
      </c>
      <c r="K236" s="369">
        <f t="shared" si="121"/>
        <v>94174.97200286089</v>
      </c>
      <c r="L236" s="369">
        <f t="shared" si="121"/>
        <v>152872.2490329055</v>
      </c>
      <c r="M236" s="369">
        <f t="shared" si="121"/>
        <v>220566.28100888387</v>
      </c>
      <c r="N236" s="369">
        <f t="shared" si="121"/>
        <v>238659.6320148926</v>
      </c>
      <c r="O236" s="818">
        <f t="shared" si="121"/>
        <v>258218.21013754842</v>
      </c>
      <c r="P236" s="1113"/>
    </row>
    <row r="237" spans="1:16" s="35" customFormat="1" ht="15">
      <c r="A237" s="32"/>
      <c r="B237" s="368"/>
      <c r="C237" s="369"/>
      <c r="D237" s="369"/>
      <c r="E237" s="369"/>
      <c r="F237" s="369"/>
      <c r="G237" s="369"/>
      <c r="H237" s="369"/>
      <c r="I237" s="369"/>
      <c r="J237" s="369"/>
      <c r="K237" s="369"/>
      <c r="L237" s="369"/>
      <c r="M237" s="369"/>
      <c r="N237" s="369"/>
      <c r="O237" s="818"/>
      <c r="P237" s="21"/>
    </row>
    <row r="238" spans="1:16" s="35" customFormat="1" ht="15">
      <c r="A238" s="692" t="s">
        <v>346</v>
      </c>
      <c r="B238" s="368"/>
      <c r="C238" s="369"/>
      <c r="D238" s="369"/>
      <c r="E238" s="369"/>
      <c r="F238" s="369"/>
      <c r="G238" s="369"/>
      <c r="H238" s="369"/>
      <c r="I238" s="369"/>
      <c r="J238" s="369"/>
      <c r="K238" s="369"/>
      <c r="L238" s="369"/>
      <c r="M238" s="369"/>
      <c r="N238" s="369"/>
      <c r="O238" s="818"/>
      <c r="P238" s="21"/>
    </row>
    <row r="239" spans="1:16" s="35" customFormat="1" ht="15">
      <c r="A239" s="32" t="s">
        <v>347</v>
      </c>
      <c r="B239" s="368">
        <f>11%*ECO!L80*$G$212</f>
        <v>5291</v>
      </c>
      <c r="C239" s="369">
        <f>11%*ECO!M80*$G$212</f>
        <v>5639.814894756648</v>
      </c>
      <c r="D239" s="369">
        <f>11%*ECO!N80*$G$212</f>
        <v>6085.745774888944</v>
      </c>
      <c r="E239" s="369">
        <f>11%*ECO!O80*$G$212</f>
        <v>6502.874654809386</v>
      </c>
      <c r="F239" s="369">
        <f>11%*ECO!P80*$G$212</f>
        <v>7008.163988836057</v>
      </c>
      <c r="G239" s="369">
        <f>11%*ECO!Q80*$G$212</f>
        <v>7503.752398050777</v>
      </c>
      <c r="H239" s="369">
        <f>11%*ECO!R80*$G$212</f>
        <v>8035.250388427829</v>
      </c>
      <c r="I239" s="369">
        <f>11%*ECO!S80*$G$212</f>
        <v>8604.944884045992</v>
      </c>
      <c r="J239" s="369">
        <f>11%*ECO!T80*$G$212</f>
        <v>9216.360866291334</v>
      </c>
      <c r="K239" s="369">
        <f>11%*ECO!U80*$G$212</f>
        <v>9874.906222979816</v>
      </c>
      <c r="L239" s="369">
        <f>11%*ECO!V80*$G$212</f>
        <v>10585.88125428053</v>
      </c>
      <c r="M239" s="369">
        <f>11%*ECO!W80*$G$212</f>
        <v>11352.563279500137</v>
      </c>
      <c r="N239" s="369">
        <f>11%*ECO!X80*$G$212</f>
        <v>12180.527682896909</v>
      </c>
      <c r="O239" s="818">
        <f>11%*ECO!Y80*$G$212</f>
        <v>13074.40059715552</v>
      </c>
      <c r="P239" s="21"/>
    </row>
    <row r="240" spans="1:16" s="35" customFormat="1" ht="15">
      <c r="A240" s="32" t="s">
        <v>348</v>
      </c>
      <c r="B240" s="368">
        <f>2400*(100/5/4/12)</f>
        <v>1000</v>
      </c>
      <c r="C240" s="369">
        <f aca="true" t="shared" si="122" ref="C240:O240">2400*(100/5/4/12)</f>
        <v>1000</v>
      </c>
      <c r="D240" s="369">
        <f t="shared" si="122"/>
        <v>1000</v>
      </c>
      <c r="E240" s="369">
        <f t="shared" si="122"/>
        <v>1000</v>
      </c>
      <c r="F240" s="369">
        <f t="shared" si="122"/>
        <v>1000</v>
      </c>
      <c r="G240" s="369">
        <f t="shared" si="122"/>
        <v>1000</v>
      </c>
      <c r="H240" s="369">
        <f t="shared" si="122"/>
        <v>1000</v>
      </c>
      <c r="I240" s="369">
        <f t="shared" si="122"/>
        <v>1000</v>
      </c>
      <c r="J240" s="369">
        <f t="shared" si="122"/>
        <v>1000</v>
      </c>
      <c r="K240" s="369">
        <f t="shared" si="122"/>
        <v>1000</v>
      </c>
      <c r="L240" s="369">
        <f t="shared" si="122"/>
        <v>1000</v>
      </c>
      <c r="M240" s="369">
        <f t="shared" si="122"/>
        <v>1000</v>
      </c>
      <c r="N240" s="369">
        <f t="shared" si="122"/>
        <v>1000</v>
      </c>
      <c r="O240" s="818">
        <f t="shared" si="122"/>
        <v>1000</v>
      </c>
      <c r="P240" s="21"/>
    </row>
    <row r="241" spans="1:16" s="35" customFormat="1" ht="15">
      <c r="A241" s="32" t="s">
        <v>350</v>
      </c>
      <c r="B241" s="368">
        <f aca="true" t="shared" si="123" ref="B241:O241">(B239+B240)*B215/1000</f>
        <v>0</v>
      </c>
      <c r="C241" s="369">
        <f t="shared" si="123"/>
        <v>0</v>
      </c>
      <c r="D241" s="369">
        <f t="shared" si="123"/>
        <v>0</v>
      </c>
      <c r="E241" s="369">
        <f t="shared" si="123"/>
        <v>0</v>
      </c>
      <c r="F241" s="369">
        <f t="shared" si="123"/>
        <v>0</v>
      </c>
      <c r="G241" s="369">
        <f t="shared" si="123"/>
        <v>0</v>
      </c>
      <c r="H241" s="369">
        <f t="shared" si="123"/>
        <v>0</v>
      </c>
      <c r="I241" s="369">
        <f t="shared" si="123"/>
        <v>0</v>
      </c>
      <c r="J241" s="369">
        <f t="shared" si="123"/>
        <v>5305.204408283517</v>
      </c>
      <c r="K241" s="369">
        <f t="shared" si="123"/>
        <v>11408.294545314695</v>
      </c>
      <c r="L241" s="369">
        <f t="shared" si="123"/>
        <v>18404.473373619603</v>
      </c>
      <c r="M241" s="369">
        <f t="shared" si="123"/>
        <v>26399.455030977224</v>
      </c>
      <c r="N241" s="369">
        <f t="shared" si="123"/>
        <v>28407.84870163818</v>
      </c>
      <c r="O241" s="818">
        <f t="shared" si="123"/>
        <v>30576.493005130327</v>
      </c>
      <c r="P241" s="21"/>
    </row>
    <row r="242" spans="1:16" s="35" customFormat="1" ht="15">
      <c r="A242" s="32"/>
      <c r="B242" s="368"/>
      <c r="C242" s="369"/>
      <c r="D242" s="369"/>
      <c r="E242" s="369"/>
      <c r="F242" s="369"/>
      <c r="G242" s="369"/>
      <c r="H242" s="369"/>
      <c r="I242" s="369"/>
      <c r="J242" s="369"/>
      <c r="K242" s="369"/>
      <c r="L242" s="369"/>
      <c r="M242" s="369"/>
      <c r="N242" s="369"/>
      <c r="O242" s="818"/>
      <c r="P242" s="21"/>
    </row>
    <row r="243" spans="1:16" s="35" customFormat="1" ht="15">
      <c r="A243" s="32" t="s">
        <v>389</v>
      </c>
      <c r="B243" s="368">
        <f>B235+B239+B240</f>
        <v>54391</v>
      </c>
      <c r="C243" s="369">
        <f aca="true" t="shared" si="124" ref="C243:O243">C235+C239+C240</f>
        <v>57910.85939254436</v>
      </c>
      <c r="D243" s="369">
        <f t="shared" si="124"/>
        <v>62410.70736478843</v>
      </c>
      <c r="E243" s="369">
        <f t="shared" si="124"/>
        <v>66619.91697125835</v>
      </c>
      <c r="F243" s="369">
        <f t="shared" si="124"/>
        <v>71718.74570552747</v>
      </c>
      <c r="G243" s="369">
        <f t="shared" si="124"/>
        <v>76719.68328942149</v>
      </c>
      <c r="H243" s="369">
        <f t="shared" si="124"/>
        <v>82082.98119231718</v>
      </c>
      <c r="I243" s="369">
        <f t="shared" si="124"/>
        <v>87831.71655719138</v>
      </c>
      <c r="J243" s="369">
        <f t="shared" si="124"/>
        <v>94001.459650758</v>
      </c>
      <c r="K243" s="369">
        <f t="shared" si="124"/>
        <v>100646.7809773418</v>
      </c>
      <c r="L243" s="369">
        <f t="shared" si="124"/>
        <v>107821.16538410351</v>
      </c>
      <c r="M243" s="369">
        <f t="shared" si="124"/>
        <v>115557.68400222866</v>
      </c>
      <c r="N243" s="369">
        <f t="shared" si="124"/>
        <v>123912.59752741427</v>
      </c>
      <c r="O243" s="818">
        <f t="shared" si="124"/>
        <v>132932.5878440239</v>
      </c>
      <c r="P243" s="21"/>
    </row>
    <row r="244" spans="1:16" s="35" customFormat="1" ht="15">
      <c r="A244" s="32" t="s">
        <v>349</v>
      </c>
      <c r="B244" s="368">
        <f>B236+B241</f>
        <v>0</v>
      </c>
      <c r="C244" s="369">
        <f aca="true" t="shared" si="125" ref="C244:O244">C236+C241</f>
        <v>0</v>
      </c>
      <c r="D244" s="369">
        <f t="shared" si="125"/>
        <v>0</v>
      </c>
      <c r="E244" s="369">
        <f t="shared" si="125"/>
        <v>0</v>
      </c>
      <c r="F244" s="369">
        <f t="shared" si="125"/>
        <v>0</v>
      </c>
      <c r="G244" s="369">
        <f t="shared" si="125"/>
        <v>0</v>
      </c>
      <c r="H244" s="369">
        <f t="shared" si="125"/>
        <v>0</v>
      </c>
      <c r="I244" s="369">
        <f t="shared" si="125"/>
        <v>0</v>
      </c>
      <c r="J244" s="369">
        <f t="shared" si="125"/>
        <v>48813.561369951865</v>
      </c>
      <c r="K244" s="369">
        <f t="shared" si="125"/>
        <v>105583.26654817558</v>
      </c>
      <c r="L244" s="369">
        <f t="shared" si="125"/>
        <v>171276.7224065251</v>
      </c>
      <c r="M244" s="369">
        <f t="shared" si="125"/>
        <v>246965.7360398611</v>
      </c>
      <c r="N244" s="369">
        <f t="shared" si="125"/>
        <v>267067.48071653076</v>
      </c>
      <c r="O244" s="818">
        <f t="shared" si="125"/>
        <v>288794.7031426788</v>
      </c>
      <c r="P244" s="21"/>
    </row>
    <row r="245" spans="1:16" s="35" customFormat="1" ht="15">
      <c r="A245" s="32" t="s">
        <v>342</v>
      </c>
      <c r="B245" s="368">
        <f>25%*B244</f>
        <v>0</v>
      </c>
      <c r="C245" s="369">
        <f aca="true" t="shared" si="126" ref="C245:O245">25%*C244</f>
        <v>0</v>
      </c>
      <c r="D245" s="369">
        <f t="shared" si="126"/>
        <v>0</v>
      </c>
      <c r="E245" s="369">
        <f t="shared" si="126"/>
        <v>0</v>
      </c>
      <c r="F245" s="369">
        <f t="shared" si="126"/>
        <v>0</v>
      </c>
      <c r="G245" s="369">
        <f t="shared" si="126"/>
        <v>0</v>
      </c>
      <c r="H245" s="369">
        <f t="shared" si="126"/>
        <v>0</v>
      </c>
      <c r="I245" s="369">
        <f t="shared" si="126"/>
        <v>0</v>
      </c>
      <c r="J245" s="369">
        <f t="shared" si="126"/>
        <v>12203.390342487966</v>
      </c>
      <c r="K245" s="369">
        <f t="shared" si="126"/>
        <v>26395.816637043896</v>
      </c>
      <c r="L245" s="369">
        <f t="shared" si="126"/>
        <v>42819.18060163128</v>
      </c>
      <c r="M245" s="369">
        <f t="shared" si="126"/>
        <v>61741.434009965276</v>
      </c>
      <c r="N245" s="369">
        <f t="shared" si="126"/>
        <v>66766.87017913269</v>
      </c>
      <c r="O245" s="818">
        <f t="shared" si="126"/>
        <v>72198.6757856697</v>
      </c>
      <c r="P245" s="21"/>
    </row>
    <row r="246" spans="1:16" s="35" customFormat="1" ht="15">
      <c r="A246" s="32"/>
      <c r="B246" s="368"/>
      <c r="C246" s="369"/>
      <c r="D246" s="369"/>
      <c r="E246" s="369"/>
      <c r="F246" s="369"/>
      <c r="G246" s="369"/>
      <c r="H246" s="369"/>
      <c r="I246" s="369"/>
      <c r="J246" s="369"/>
      <c r="K246" s="369"/>
      <c r="L246" s="369"/>
      <c r="M246" s="369"/>
      <c r="N246" s="369"/>
      <c r="O246" s="818"/>
      <c r="P246" s="21"/>
    </row>
    <row r="247" spans="1:16" s="35" customFormat="1" ht="15">
      <c r="A247" s="43" t="s">
        <v>421</v>
      </c>
      <c r="B247" s="44">
        <f>B244+B245</f>
        <v>0</v>
      </c>
      <c r="C247" s="45">
        <f aca="true" t="shared" si="127" ref="C247:O247">C244+C245</f>
        <v>0</v>
      </c>
      <c r="D247" s="45">
        <f t="shared" si="127"/>
        <v>0</v>
      </c>
      <c r="E247" s="45">
        <f t="shared" si="127"/>
        <v>0</v>
      </c>
      <c r="F247" s="45">
        <f t="shared" si="127"/>
        <v>0</v>
      </c>
      <c r="G247" s="45">
        <f t="shared" si="127"/>
        <v>0</v>
      </c>
      <c r="H247" s="45">
        <f t="shared" si="127"/>
        <v>0</v>
      </c>
      <c r="I247" s="45">
        <f t="shared" si="127"/>
        <v>0</v>
      </c>
      <c r="J247" s="45">
        <f t="shared" si="127"/>
        <v>61016.95171243983</v>
      </c>
      <c r="K247" s="45">
        <f t="shared" si="127"/>
        <v>131979.08318521947</v>
      </c>
      <c r="L247" s="45">
        <f t="shared" si="127"/>
        <v>214095.9030081564</v>
      </c>
      <c r="M247" s="45">
        <f t="shared" si="127"/>
        <v>308707.1700498264</v>
      </c>
      <c r="N247" s="45">
        <f t="shared" si="127"/>
        <v>333834.35089566343</v>
      </c>
      <c r="O247" s="874">
        <f t="shared" si="127"/>
        <v>360993.3789283485</v>
      </c>
      <c r="P247" s="21"/>
    </row>
    <row r="248" spans="1:16" s="35" customFormat="1" ht="15">
      <c r="A248" s="43" t="s">
        <v>69</v>
      </c>
      <c r="B248" s="270">
        <f>B247/(ECO!L$66*1000)</f>
        <v>0</v>
      </c>
      <c r="C248" s="271">
        <f>C247/(ECO!M$66*1000)</f>
        <v>0</v>
      </c>
      <c r="D248" s="271">
        <f>D247/(ECO!N$66*1000)</f>
        <v>0</v>
      </c>
      <c r="E248" s="271">
        <f>E247/(ECO!O$66*1000)</f>
        <v>0</v>
      </c>
      <c r="F248" s="271">
        <f>F247/(ECO!P$66*1000)</f>
        <v>0</v>
      </c>
      <c r="G248" s="271">
        <f>G247/(ECO!Q$66*1000)</f>
        <v>0</v>
      </c>
      <c r="H248" s="271">
        <f>H247/(ECO!R$66*1000)</f>
        <v>0</v>
      </c>
      <c r="I248" s="271">
        <f>I247/(ECO!S$66*1000)</f>
        <v>0</v>
      </c>
      <c r="J248" s="271">
        <f>J247/(ECO!T$66*1000)</f>
        <v>0.002328061175389861</v>
      </c>
      <c r="K248" s="271">
        <f>K247/(ECO!U$66*1000)</f>
        <v>0.004750541570113677</v>
      </c>
      <c r="L248" s="271">
        <f>L247/(ECO!V$66*1000)</f>
        <v>0.007270102048684534</v>
      </c>
      <c r="M248" s="271">
        <f>M247/(ECO!W$66*1000)</f>
        <v>0.009889469642663448</v>
      </c>
      <c r="N248" s="271">
        <f>N247/(ECO!X$66*1000)</f>
        <v>0.010089077138224174</v>
      </c>
      <c r="O248" s="968">
        <f>O247/(ECO!Y$66*1000)</f>
        <v>0.010292332100683399</v>
      </c>
      <c r="P248" s="21"/>
    </row>
    <row r="249" spans="1:16" s="35" customFormat="1" ht="15">
      <c r="A249" s="969" t="s">
        <v>71</v>
      </c>
      <c r="B249" s="1010">
        <f>B247/('GGO (SQ)'!L$24*1000)</f>
        <v>0</v>
      </c>
      <c r="C249" s="1011">
        <f>C247/('GGO (SQ)'!M$24*1000)</f>
        <v>0</v>
      </c>
      <c r="D249" s="1011">
        <f>D247/('GGO (SQ)'!N$24*1000)</f>
        <v>0</v>
      </c>
      <c r="E249" s="1011">
        <f>E247/('GGO (SQ)'!O$24*1000)</f>
        <v>0</v>
      </c>
      <c r="F249" s="1011">
        <f>F247/('GGO (SQ)'!P$24*1000)</f>
        <v>0</v>
      </c>
      <c r="G249" s="1011">
        <f>G247/('GGO (SQ)'!Q$24*1000)</f>
        <v>0</v>
      </c>
      <c r="H249" s="1011">
        <f>H247/('GGO (SQ)'!R$24*1000)</f>
        <v>0</v>
      </c>
      <c r="I249" s="1011">
        <f>I247/('GGO (SQ)'!S$24*1000)</f>
        <v>0</v>
      </c>
      <c r="J249" s="1011">
        <f>J247/('GGO (SQ)'!T$24*1000)</f>
        <v>0.014842774968283762</v>
      </c>
      <c r="K249" s="1011">
        <f>K247/('GGO (SQ)'!U$24*1000)</f>
        <v>0.030287528630284735</v>
      </c>
      <c r="L249" s="1011">
        <f>L247/('GGO (SQ)'!V$24*1000)</f>
        <v>0.04635122558023535</v>
      </c>
      <c r="M249" s="1011">
        <f>M247/('GGO (SQ)'!W$24*1000)</f>
        <v>0.06305125226666175</v>
      </c>
      <c r="N249" s="1011">
        <f>N247/('GGO (SQ)'!X$24*1000)</f>
        <v>0.06432386879835336</v>
      </c>
      <c r="O249" s="1012">
        <f>O247/('GGO (SQ)'!Y$24*1000)</f>
        <v>0.06561974010141912</v>
      </c>
      <c r="P249" s="21"/>
    </row>
    <row r="251" spans="1:44" s="254" customFormat="1" ht="15">
      <c r="A251" s="259" t="s">
        <v>522</v>
      </c>
      <c r="B251" s="116">
        <v>2015</v>
      </c>
      <c r="C251" s="116">
        <v>2016</v>
      </c>
      <c r="D251" s="116">
        <v>2017</v>
      </c>
      <c r="E251" s="116">
        <v>2018</v>
      </c>
      <c r="F251" s="116">
        <v>2019</v>
      </c>
      <c r="G251" s="116">
        <v>2020</v>
      </c>
      <c r="H251" s="116">
        <v>2021</v>
      </c>
      <c r="I251" s="116">
        <v>2022</v>
      </c>
      <c r="J251" s="116">
        <v>2023</v>
      </c>
      <c r="K251" s="116">
        <v>2024</v>
      </c>
      <c r="L251" s="116">
        <v>2025</v>
      </c>
      <c r="M251" s="116">
        <v>2026</v>
      </c>
      <c r="N251" s="116">
        <v>2027</v>
      </c>
      <c r="O251" s="116">
        <v>2028</v>
      </c>
      <c r="P251" s="35"/>
      <c r="Q251" s="35"/>
      <c r="R251" s="35"/>
      <c r="S251" s="35"/>
      <c r="T251" s="35"/>
      <c r="U251" s="35"/>
      <c r="V251" s="35"/>
      <c r="W251" s="35"/>
      <c r="X251" s="35"/>
      <c r="Y251" s="35"/>
      <c r="Z251" s="35"/>
      <c r="AA251" s="21"/>
      <c r="AB251" s="21"/>
      <c r="AC251" s="21"/>
      <c r="AD251" s="21"/>
      <c r="AE251" s="21"/>
      <c r="AF251" s="21"/>
      <c r="AG251" s="21"/>
      <c r="AH251" s="21"/>
      <c r="AI251" s="21"/>
      <c r="AJ251" s="21"/>
      <c r="AK251" s="21"/>
      <c r="AL251" s="21"/>
      <c r="AM251" s="21"/>
      <c r="AN251" s="21"/>
      <c r="AO251" s="21"/>
      <c r="AP251" s="21"/>
      <c r="AQ251" s="21"/>
      <c r="AR251" s="21"/>
    </row>
    <row r="252" spans="1:44" s="254" customFormat="1" ht="15">
      <c r="A252" s="863" t="s">
        <v>567</v>
      </c>
      <c r="B252" s="1026">
        <f>B33</f>
        <v>0</v>
      </c>
      <c r="C252" s="1027">
        <f aca="true" t="shared" si="128" ref="C252:I252">C33</f>
        <v>0</v>
      </c>
      <c r="D252" s="1018">
        <f t="shared" si="128"/>
        <v>8.158742328058733E-05</v>
      </c>
      <c r="E252" s="1018">
        <f t="shared" si="128"/>
        <v>0.0002015380178648315</v>
      </c>
      <c r="F252" s="1018">
        <f t="shared" si="128"/>
        <v>0.0003014287482860263</v>
      </c>
      <c r="G252" s="1018">
        <f t="shared" si="128"/>
        <v>0.0003984632757433337</v>
      </c>
      <c r="H252" s="1018">
        <f t="shared" si="128"/>
        <v>0.00040910568782751553</v>
      </c>
      <c r="I252" s="1019">
        <f t="shared" si="128"/>
        <v>0.0004199158837908164</v>
      </c>
      <c r="J252" s="1015">
        <f aca="true" t="shared" si="129" ref="J252:O252">J33</f>
        <v>0.0004309497399684912</v>
      </c>
      <c r="K252" s="1015">
        <f t="shared" si="129"/>
        <v>0.0004422631231219809</v>
      </c>
      <c r="L252" s="1015">
        <f t="shared" si="129"/>
        <v>0.0004539496664600578</v>
      </c>
      <c r="M252" s="1015">
        <f t="shared" si="129"/>
        <v>0.00046595426900502776</v>
      </c>
      <c r="N252" s="1015">
        <f t="shared" si="129"/>
        <v>0.0004783281760188993</v>
      </c>
      <c r="O252" s="1022">
        <f t="shared" si="129"/>
        <v>0.0004910753344051855</v>
      </c>
      <c r="P252" s="35"/>
      <c r="Q252" s="35"/>
      <c r="R252" s="35"/>
      <c r="S252" s="35"/>
      <c r="T252" s="35"/>
      <c r="U252" s="35"/>
      <c r="V252" s="35"/>
      <c r="W252" s="35"/>
      <c r="X252" s="35"/>
      <c r="Y252" s="35"/>
      <c r="Z252" s="35"/>
      <c r="AA252" s="21"/>
      <c r="AB252" s="21"/>
      <c r="AC252" s="21"/>
      <c r="AD252" s="21"/>
      <c r="AE252" s="21"/>
      <c r="AF252" s="21"/>
      <c r="AG252" s="21"/>
      <c r="AH252" s="21"/>
      <c r="AI252" s="21"/>
      <c r="AJ252" s="21"/>
      <c r="AK252" s="21"/>
      <c r="AL252" s="21"/>
      <c r="AM252" s="21"/>
      <c r="AN252" s="21"/>
      <c r="AO252" s="21"/>
      <c r="AP252" s="21"/>
      <c r="AQ252" s="21"/>
      <c r="AR252" s="21"/>
    </row>
    <row r="253" spans="1:44" s="254" customFormat="1" ht="15">
      <c r="A253" s="863" t="s">
        <v>568</v>
      </c>
      <c r="B253" s="1026">
        <f>B58</f>
        <v>0</v>
      </c>
      <c r="C253" s="1027">
        <f aca="true" t="shared" si="130" ref="C253:I253">C58</f>
        <v>0</v>
      </c>
      <c r="D253" s="1018">
        <f t="shared" si="130"/>
        <v>0.00013597903880097886</v>
      </c>
      <c r="E253" s="1018">
        <f t="shared" si="130"/>
        <v>0.00026871735715310865</v>
      </c>
      <c r="F253" s="1018">
        <f t="shared" si="130"/>
        <v>0.0004019049977147017</v>
      </c>
      <c r="G253" s="1018">
        <f t="shared" si="130"/>
        <v>0.0005312843676577783</v>
      </c>
      <c r="H253" s="1018">
        <f t="shared" si="130"/>
        <v>0.0005454742504366873</v>
      </c>
      <c r="I253" s="1018">
        <f t="shared" si="130"/>
        <v>0.0005598878450544219</v>
      </c>
      <c r="J253" s="1014">
        <f aca="true" t="shared" si="131" ref="J253:O253">J58</f>
        <v>0.0005745996532913216</v>
      </c>
      <c r="K253" s="1014">
        <f t="shared" si="131"/>
        <v>0.0005896841641626413</v>
      </c>
      <c r="L253" s="1014">
        <f t="shared" si="131"/>
        <v>0.0006052662219467437</v>
      </c>
      <c r="M253" s="1014">
        <f t="shared" si="131"/>
        <v>0.0006212723586733704</v>
      </c>
      <c r="N253" s="1014">
        <f t="shared" si="131"/>
        <v>0.0006377709013585325</v>
      </c>
      <c r="O253" s="1023">
        <f t="shared" si="131"/>
        <v>0.0006547671125402472</v>
      </c>
      <c r="P253" s="35"/>
      <c r="Q253" s="35"/>
      <c r="R253" s="35"/>
      <c r="S253" s="35"/>
      <c r="T253" s="35"/>
      <c r="U253" s="35"/>
      <c r="V253" s="35"/>
      <c r="W253" s="35"/>
      <c r="X253" s="35"/>
      <c r="Y253" s="35"/>
      <c r="Z253" s="35"/>
      <c r="AA253" s="21"/>
      <c r="AB253" s="21"/>
      <c r="AC253" s="21"/>
      <c r="AD253" s="21"/>
      <c r="AE253" s="21"/>
      <c r="AF253" s="21"/>
      <c r="AG253" s="21"/>
      <c r="AH253" s="21"/>
      <c r="AI253" s="21"/>
      <c r="AJ253" s="21"/>
      <c r="AK253" s="21"/>
      <c r="AL253" s="21"/>
      <c r="AM253" s="21"/>
      <c r="AN253" s="21"/>
      <c r="AO253" s="21"/>
      <c r="AP253" s="21"/>
      <c r="AQ253" s="21"/>
      <c r="AR253" s="21"/>
    </row>
    <row r="254" spans="1:44" s="254" customFormat="1" ht="15">
      <c r="A254" s="863" t="s">
        <v>569</v>
      </c>
      <c r="B254" s="1026">
        <f>B83</f>
        <v>0</v>
      </c>
      <c r="C254" s="1027">
        <f aca="true" t="shared" si="132" ref="C254:I254">C83</f>
        <v>0</v>
      </c>
      <c r="D254" s="1018">
        <f t="shared" si="132"/>
        <v>0.0004079371164029365</v>
      </c>
      <c r="E254" s="1018">
        <f t="shared" si="132"/>
        <v>0.0008061520714593261</v>
      </c>
      <c r="F254" s="1018">
        <f t="shared" si="132"/>
        <v>0.0012057149931441052</v>
      </c>
      <c r="G254" s="1018">
        <f t="shared" si="132"/>
        <v>0.0015938531029733353</v>
      </c>
      <c r="H254" s="1018">
        <f t="shared" si="132"/>
        <v>0.001636422751310062</v>
      </c>
      <c r="I254" s="1018">
        <f t="shared" si="132"/>
        <v>0.0016796635351632651</v>
      </c>
      <c r="J254" s="1014">
        <f aca="true" t="shared" si="133" ref="J254:O254">J83</f>
        <v>0.0017237989598739647</v>
      </c>
      <c r="K254" s="1014">
        <f t="shared" si="133"/>
        <v>0.0017690524924879236</v>
      </c>
      <c r="L254" s="1014">
        <f t="shared" si="133"/>
        <v>0.001815798665840231</v>
      </c>
      <c r="M254" s="1014">
        <f t="shared" si="133"/>
        <v>0.001863817076020111</v>
      </c>
      <c r="N254" s="1014">
        <f t="shared" si="133"/>
        <v>0.0019133127040755974</v>
      </c>
      <c r="O254" s="1023">
        <f t="shared" si="133"/>
        <v>0.0019643013376207425</v>
      </c>
      <c r="P254" s="35"/>
      <c r="Q254" s="35"/>
      <c r="R254" s="35"/>
      <c r="S254" s="35"/>
      <c r="T254" s="35"/>
      <c r="U254" s="35"/>
      <c r="V254" s="35"/>
      <c r="W254" s="35"/>
      <c r="X254" s="35"/>
      <c r="Y254" s="35"/>
      <c r="Z254" s="35"/>
      <c r="AA254" s="21"/>
      <c r="AB254" s="21"/>
      <c r="AC254" s="21"/>
      <c r="AD254" s="21"/>
      <c r="AE254" s="21"/>
      <c r="AF254" s="21"/>
      <c r="AG254" s="21"/>
      <c r="AH254" s="21"/>
      <c r="AI254" s="21"/>
      <c r="AJ254" s="21"/>
      <c r="AK254" s="21"/>
      <c r="AL254" s="21"/>
      <c r="AM254" s="21"/>
      <c r="AN254" s="21"/>
      <c r="AO254" s="21"/>
      <c r="AP254" s="21"/>
      <c r="AQ254" s="21"/>
      <c r="AR254" s="21"/>
    </row>
    <row r="255" spans="1:44" s="254" customFormat="1" ht="15">
      <c r="A255" s="863" t="s">
        <v>84</v>
      </c>
      <c r="B255" s="1028">
        <f>B32</f>
        <v>0</v>
      </c>
      <c r="C255" s="1029">
        <f aca="true" t="shared" si="134" ref="C255:I255">C32</f>
        <v>0</v>
      </c>
      <c r="D255" s="1020">
        <f t="shared" si="134"/>
        <v>1352.141186335925</v>
      </c>
      <c r="E255" s="1020">
        <f t="shared" si="134"/>
        <v>3674.8538915721947</v>
      </c>
      <c r="F255" s="1020">
        <f t="shared" si="134"/>
        <v>6041.511684739466</v>
      </c>
      <c r="G255" s="1020">
        <f t="shared" si="134"/>
        <v>8768.53064731868</v>
      </c>
      <c r="H255" s="1020">
        <f t="shared" si="134"/>
        <v>9542.889743896434</v>
      </c>
      <c r="I255" s="1020">
        <f t="shared" si="134"/>
        <v>10382.753811433313</v>
      </c>
      <c r="J255" s="1016">
        <f aca="true" t="shared" si="135" ref="J255:O255">J32</f>
        <v>11294.909151063217</v>
      </c>
      <c r="K255" s="1016">
        <f t="shared" si="135"/>
        <v>12286.91100894295</v>
      </c>
      <c r="L255" s="1016">
        <f t="shared" si="135"/>
        <v>13368.280542719893</v>
      </c>
      <c r="M255" s="1016">
        <f t="shared" si="135"/>
        <v>14545.109996256331</v>
      </c>
      <c r="N255" s="1016">
        <f t="shared" si="135"/>
        <v>15827.252975536505</v>
      </c>
      <c r="O255" s="1024">
        <f t="shared" si="135"/>
        <v>17223.98213943424</v>
      </c>
      <c r="P255" s="35"/>
      <c r="Q255" s="35"/>
      <c r="R255" s="35"/>
      <c r="S255" s="35"/>
      <c r="T255" s="35"/>
      <c r="U255" s="35"/>
      <c r="V255" s="35"/>
      <c r="W255" s="35"/>
      <c r="X255" s="35"/>
      <c r="Y255" s="35"/>
      <c r="Z255" s="35"/>
      <c r="AA255" s="21"/>
      <c r="AB255" s="21"/>
      <c r="AC255" s="21"/>
      <c r="AD255" s="21"/>
      <c r="AE255" s="21"/>
      <c r="AF255" s="21"/>
      <c r="AG255" s="21"/>
      <c r="AH255" s="21"/>
      <c r="AI255" s="21"/>
      <c r="AJ255" s="21"/>
      <c r="AK255" s="21"/>
      <c r="AL255" s="21"/>
      <c r="AM255" s="21"/>
      <c r="AN255" s="21"/>
      <c r="AO255" s="21"/>
      <c r="AP255" s="21"/>
      <c r="AQ255" s="21"/>
      <c r="AR255" s="21"/>
    </row>
    <row r="256" spans="1:44" s="254" customFormat="1" ht="15">
      <c r="A256" s="863" t="s">
        <v>87</v>
      </c>
      <c r="B256" s="1028">
        <f>B57</f>
        <v>0</v>
      </c>
      <c r="C256" s="1029">
        <f aca="true" t="shared" si="136" ref="C256:I256">C57</f>
        <v>0</v>
      </c>
      <c r="D256" s="1020">
        <f t="shared" si="136"/>
        <v>2253.568643893208</v>
      </c>
      <c r="E256" s="1020">
        <f t="shared" si="136"/>
        <v>4899.805188762926</v>
      </c>
      <c r="F256" s="1020">
        <f t="shared" si="136"/>
        <v>8055.348912985954</v>
      </c>
      <c r="G256" s="1020">
        <f t="shared" si="136"/>
        <v>11691.374196424906</v>
      </c>
      <c r="H256" s="1020">
        <f t="shared" si="136"/>
        <v>12723.852991861912</v>
      </c>
      <c r="I256" s="1020">
        <f t="shared" si="136"/>
        <v>13843.67174857775</v>
      </c>
      <c r="J256" s="1016">
        <f aca="true" t="shared" si="137" ref="J256:O256">J57</f>
        <v>15059.87886808429</v>
      </c>
      <c r="K256" s="1016">
        <f t="shared" si="137"/>
        <v>16382.548011923936</v>
      </c>
      <c r="L256" s="1016">
        <f t="shared" si="137"/>
        <v>17824.374056959856</v>
      </c>
      <c r="M256" s="1016">
        <f t="shared" si="137"/>
        <v>19393.47999500844</v>
      </c>
      <c r="N256" s="1016">
        <f t="shared" si="137"/>
        <v>21103.00396738201</v>
      </c>
      <c r="O256" s="1024">
        <f t="shared" si="137"/>
        <v>22965.30951924565</v>
      </c>
      <c r="P256" s="35"/>
      <c r="Q256" s="35"/>
      <c r="R256" s="35"/>
      <c r="S256" s="35"/>
      <c r="T256" s="35"/>
      <c r="U256" s="35"/>
      <c r="V256" s="35"/>
      <c r="W256" s="35"/>
      <c r="X256" s="35"/>
      <c r="Y256" s="35"/>
      <c r="Z256" s="35"/>
      <c r="AA256" s="21"/>
      <c r="AB256" s="21"/>
      <c r="AC256" s="21"/>
      <c r="AD256" s="21"/>
      <c r="AE256" s="21"/>
      <c r="AF256" s="21"/>
      <c r="AG256" s="21"/>
      <c r="AH256" s="21"/>
      <c r="AI256" s="21"/>
      <c r="AJ256" s="21"/>
      <c r="AK256" s="21"/>
      <c r="AL256" s="21"/>
      <c r="AM256" s="21"/>
      <c r="AN256" s="21"/>
      <c r="AO256" s="21"/>
      <c r="AP256" s="21"/>
      <c r="AQ256" s="21"/>
      <c r="AR256" s="21"/>
    </row>
    <row r="257" spans="1:44" s="254" customFormat="1" ht="15">
      <c r="A257" s="863" t="s">
        <v>88</v>
      </c>
      <c r="B257" s="1028">
        <f>B82</f>
        <v>0</v>
      </c>
      <c r="C257" s="1029">
        <f aca="true" t="shared" si="138" ref="C257:I257">C82</f>
        <v>0</v>
      </c>
      <c r="D257" s="1020">
        <f t="shared" si="138"/>
        <v>6760.705931679623</v>
      </c>
      <c r="E257" s="1020">
        <f t="shared" si="138"/>
        <v>14699.41556628878</v>
      </c>
      <c r="F257" s="1020">
        <f t="shared" si="138"/>
        <v>24166.046738957863</v>
      </c>
      <c r="G257" s="1020">
        <f t="shared" si="138"/>
        <v>35074.122589274724</v>
      </c>
      <c r="H257" s="1020">
        <f t="shared" si="138"/>
        <v>38171.55897558573</v>
      </c>
      <c r="I257" s="1020">
        <f t="shared" si="138"/>
        <v>41531.015245733244</v>
      </c>
      <c r="J257" s="1016">
        <f aca="true" t="shared" si="139" ref="J257:O257">J82</f>
        <v>45179.63660425287</v>
      </c>
      <c r="K257" s="1016">
        <f t="shared" si="139"/>
        <v>49147.6440357718</v>
      </c>
      <c r="L257" s="1016">
        <f t="shared" si="139"/>
        <v>53473.122170879564</v>
      </c>
      <c r="M257" s="1016">
        <f t="shared" si="139"/>
        <v>58180.439985025325</v>
      </c>
      <c r="N257" s="1016">
        <f t="shared" si="139"/>
        <v>63309.01190214603</v>
      </c>
      <c r="O257" s="1024">
        <f t="shared" si="139"/>
        <v>68895.92855773697</v>
      </c>
      <c r="P257" s="35"/>
      <c r="Q257" s="35"/>
      <c r="R257" s="35"/>
      <c r="S257" s="35"/>
      <c r="T257" s="35"/>
      <c r="U257" s="35"/>
      <c r="V257" s="35"/>
      <c r="W257" s="35"/>
      <c r="X257" s="35"/>
      <c r="Y257" s="35"/>
      <c r="Z257" s="35"/>
      <c r="AA257" s="21"/>
      <c r="AB257" s="21"/>
      <c r="AC257" s="21"/>
      <c r="AD257" s="21"/>
      <c r="AE257" s="21"/>
      <c r="AF257" s="21"/>
      <c r="AG257" s="21"/>
      <c r="AH257" s="21"/>
      <c r="AI257" s="21"/>
      <c r="AJ257" s="21"/>
      <c r="AK257" s="21"/>
      <c r="AL257" s="21"/>
      <c r="AM257" s="21"/>
      <c r="AN257" s="21"/>
      <c r="AO257" s="21"/>
      <c r="AP257" s="21"/>
      <c r="AQ257" s="21"/>
      <c r="AR257" s="21"/>
    </row>
    <row r="258" spans="1:44" s="254" customFormat="1" ht="15">
      <c r="A258" s="864" t="str">
        <f>A87</f>
        <v>Scenario 4: Provide a 30% national government subsidy for SSS premiums for the informal sector</v>
      </c>
      <c r="B258" s="1026">
        <f>B98</f>
        <v>0</v>
      </c>
      <c r="C258" s="1027">
        <f aca="true" t="shared" si="140" ref="C258:I258">C98</f>
        <v>0</v>
      </c>
      <c r="D258" s="1018">
        <f t="shared" si="140"/>
        <v>0.00012984688146924116</v>
      </c>
      <c r="E258" s="1018">
        <f t="shared" si="140"/>
        <v>0.00023460264582728747</v>
      </c>
      <c r="F258" s="1018">
        <f t="shared" si="140"/>
        <v>0.00031710206790263814</v>
      </c>
      <c r="G258" s="1018">
        <f t="shared" si="140"/>
        <v>0.0003800091320618026</v>
      </c>
      <c r="H258" s="1018">
        <f t="shared" si="140"/>
        <v>0.00035228047063428383</v>
      </c>
      <c r="I258" s="1018">
        <f t="shared" si="140"/>
        <v>0.0003250524412445361</v>
      </c>
      <c r="J258" s="1014">
        <f aca="true" t="shared" si="141" ref="J258:O258">J98</f>
        <v>0.0002983261414705644</v>
      </c>
      <c r="K258" s="1014">
        <f t="shared" si="141"/>
        <v>0.0002720698893820816</v>
      </c>
      <c r="L258" s="1014">
        <f t="shared" si="141"/>
        <v>0.0002463001482987678</v>
      </c>
      <c r="M258" s="1014">
        <f t="shared" si="141"/>
        <v>0.00022110203132145572</v>
      </c>
      <c r="N258" s="1014">
        <f t="shared" si="141"/>
        <v>0.00019651058329728054</v>
      </c>
      <c r="O258" s="1023">
        <f t="shared" si="141"/>
        <v>0.00017258901660496855</v>
      </c>
      <c r="P258" s="35"/>
      <c r="Q258" s="35"/>
      <c r="R258" s="35"/>
      <c r="S258" s="35"/>
      <c r="T258" s="35"/>
      <c r="U258" s="35"/>
      <c r="V258" s="35"/>
      <c r="W258" s="35"/>
      <c r="X258" s="35"/>
      <c r="Y258" s="35"/>
      <c r="Z258" s="35"/>
      <c r="AA258" s="21"/>
      <c r="AB258" s="21"/>
      <c r="AC258" s="21"/>
      <c r="AD258" s="21"/>
      <c r="AE258" s="21"/>
      <c r="AF258" s="21"/>
      <c r="AG258" s="21"/>
      <c r="AH258" s="21"/>
      <c r="AI258" s="21"/>
      <c r="AJ258" s="21"/>
      <c r="AK258" s="21"/>
      <c r="AL258" s="21"/>
      <c r="AM258" s="21"/>
      <c r="AN258" s="21"/>
      <c r="AO258" s="21"/>
      <c r="AP258" s="21"/>
      <c r="AQ258" s="21"/>
      <c r="AR258" s="21"/>
    </row>
    <row r="259" spans="1:44" s="254" customFormat="1" ht="15">
      <c r="A259" s="864" t="str">
        <f>A101</f>
        <v>Scenario 5: Provide a 50% national government subsidy for SSS premiums for the informal sector</v>
      </c>
      <c r="B259" s="1026">
        <f>B112</f>
        <v>0</v>
      </c>
      <c r="C259" s="1027">
        <f aca="true" t="shared" si="142" ref="C259:I259">C112</f>
        <v>0</v>
      </c>
      <c r="D259" s="1018">
        <f t="shared" si="142"/>
        <v>0.00021641146911540197</v>
      </c>
      <c r="E259" s="1018">
        <f t="shared" si="142"/>
        <v>0.00039100440971214586</v>
      </c>
      <c r="F259" s="1018">
        <f t="shared" si="142"/>
        <v>0.0005285034465043969</v>
      </c>
      <c r="G259" s="1018">
        <f t="shared" si="142"/>
        <v>0.0006333485534363375</v>
      </c>
      <c r="H259" s="1018">
        <f t="shared" si="142"/>
        <v>0.0005871341177238064</v>
      </c>
      <c r="I259" s="1018">
        <f t="shared" si="142"/>
        <v>0.0005417540687408935</v>
      </c>
      <c r="J259" s="1014">
        <f aca="true" t="shared" si="143" ref="J259:O259">J112</f>
        <v>0.000497210235784274</v>
      </c>
      <c r="K259" s="1014">
        <f t="shared" si="143"/>
        <v>0.0004534498156368026</v>
      </c>
      <c r="L259" s="1014">
        <f t="shared" si="143"/>
        <v>0.00041050024716461305</v>
      </c>
      <c r="M259" s="1014">
        <f t="shared" si="143"/>
        <v>0.00036850338553575957</v>
      </c>
      <c r="N259" s="1014">
        <f t="shared" si="143"/>
        <v>0.0003275176388288009</v>
      </c>
      <c r="O259" s="1023">
        <f t="shared" si="143"/>
        <v>0.00028764836100828093</v>
      </c>
      <c r="P259" s="35"/>
      <c r="Q259" s="35"/>
      <c r="R259" s="35"/>
      <c r="S259" s="35"/>
      <c r="T259" s="35"/>
      <c r="U259" s="35"/>
      <c r="V259" s="35"/>
      <c r="W259" s="35"/>
      <c r="X259" s="35"/>
      <c r="Y259" s="35"/>
      <c r="Z259" s="35"/>
      <c r="AA259" s="21"/>
      <c r="AB259" s="21"/>
      <c r="AC259" s="21"/>
      <c r="AD259" s="21"/>
      <c r="AE259" s="21"/>
      <c r="AF259" s="21"/>
      <c r="AG259" s="21"/>
      <c r="AH259" s="21"/>
      <c r="AI259" s="21"/>
      <c r="AJ259" s="21"/>
      <c r="AK259" s="21"/>
      <c r="AL259" s="21"/>
      <c r="AM259" s="21"/>
      <c r="AN259" s="21"/>
      <c r="AO259" s="21"/>
      <c r="AP259" s="21"/>
      <c r="AQ259" s="21"/>
      <c r="AR259" s="21"/>
    </row>
    <row r="260" spans="1:44" s="254" customFormat="1" ht="15">
      <c r="A260" s="864" t="str">
        <f>A116</f>
        <v>Scenario 6: Provide a daily allowance at PHP200, indexed on cumulative inflation every 5 years, to low-income people enrolled in TESDA training courses</v>
      </c>
      <c r="B260" s="1026">
        <f>B127</f>
        <v>0</v>
      </c>
      <c r="C260" s="1027">
        <f aca="true" t="shared" si="144" ref="C260:I260">C127</f>
        <v>0</v>
      </c>
      <c r="D260" s="1018">
        <f t="shared" si="144"/>
        <v>3.0773115147945566E-05</v>
      </c>
      <c r="E260" s="1018">
        <f t="shared" si="144"/>
        <v>5.648019502004712E-05</v>
      </c>
      <c r="F260" s="1018">
        <f t="shared" si="144"/>
        <v>7.779170096506785E-05</v>
      </c>
      <c r="G260" s="1018">
        <f t="shared" si="144"/>
        <v>9.53224450462005E-05</v>
      </c>
      <c r="H260" s="1018">
        <f t="shared" si="144"/>
        <v>9.071286260983687E-05</v>
      </c>
      <c r="I260" s="1018">
        <f t="shared" si="144"/>
        <v>0.0001015035842847777</v>
      </c>
      <c r="J260" s="1014">
        <f aca="true" t="shared" si="145" ref="J260:O260">J127</f>
        <v>9.653752358634781E-05</v>
      </c>
      <c r="K260" s="1014">
        <f t="shared" si="145"/>
        <v>9.179108627106579E-05</v>
      </c>
      <c r="L260" s="1014">
        <f t="shared" si="145"/>
        <v>8.726457750775396E-05</v>
      </c>
      <c r="M260" s="1014">
        <f t="shared" si="145"/>
        <v>8.291836728906449E-05</v>
      </c>
      <c r="N260" s="1014">
        <f t="shared" si="145"/>
        <v>9.220223473478556E-05</v>
      </c>
      <c r="O260" s="1023">
        <f t="shared" si="145"/>
        <v>8.756790610184073E-05</v>
      </c>
      <c r="P260" s="35"/>
      <c r="Q260" s="35"/>
      <c r="R260" s="35"/>
      <c r="S260" s="35"/>
      <c r="T260" s="35"/>
      <c r="U260" s="35"/>
      <c r="V260" s="35"/>
      <c r="W260" s="35"/>
      <c r="X260" s="35"/>
      <c r="Y260" s="35"/>
      <c r="Z260" s="35"/>
      <c r="AA260" s="21"/>
      <c r="AB260" s="21"/>
      <c r="AC260" s="21"/>
      <c r="AD260" s="21"/>
      <c r="AE260" s="21"/>
      <c r="AF260" s="21"/>
      <c r="AG260" s="21"/>
      <c r="AH260" s="21"/>
      <c r="AI260" s="21"/>
      <c r="AJ260" s="21"/>
      <c r="AK260" s="21"/>
      <c r="AL260" s="21"/>
      <c r="AM260" s="21"/>
      <c r="AN260" s="21"/>
      <c r="AO260" s="21"/>
      <c r="AP260" s="21"/>
      <c r="AQ260" s="21"/>
      <c r="AR260" s="21"/>
    </row>
    <row r="261" spans="1:15" ht="15">
      <c r="A261" s="864" t="s">
        <v>570</v>
      </c>
      <c r="B261" s="1026">
        <f>B151</f>
        <v>0</v>
      </c>
      <c r="C261" s="1027">
        <f aca="true" t="shared" si="146" ref="C261:I261">C151</f>
        <v>0</v>
      </c>
      <c r="D261" s="1018">
        <f t="shared" si="146"/>
        <v>0</v>
      </c>
      <c r="E261" s="1018">
        <f t="shared" si="146"/>
        <v>0</v>
      </c>
      <c r="F261" s="1018">
        <f t="shared" si="146"/>
        <v>0</v>
      </c>
      <c r="G261" s="1018">
        <f t="shared" si="146"/>
        <v>0</v>
      </c>
      <c r="H261" s="1018">
        <f t="shared" si="146"/>
        <v>0</v>
      </c>
      <c r="I261" s="1018">
        <f t="shared" si="146"/>
        <v>0</v>
      </c>
      <c r="J261" s="1014">
        <f aca="true" t="shared" si="147" ref="J261:O261">J151</f>
        <v>0.000618217663344094</v>
      </c>
      <c r="K261" s="1014">
        <f t="shared" si="147"/>
        <v>0.001260380415087647</v>
      </c>
      <c r="L261" s="1014">
        <f t="shared" si="147"/>
        <v>0.0019272277654609697</v>
      </c>
      <c r="M261" s="1014">
        <f t="shared" si="147"/>
        <v>0.002619518801548482</v>
      </c>
      <c r="N261" s="1014">
        <f t="shared" si="147"/>
        <v>0.002670400749030854</v>
      </c>
      <c r="O261" s="1023">
        <f t="shared" si="147"/>
        <v>0.0027222935178465896</v>
      </c>
    </row>
    <row r="262" spans="1:15" ht="15">
      <c r="A262" s="864" t="s">
        <v>530</v>
      </c>
      <c r="B262" s="1026">
        <f>B168</f>
        <v>0</v>
      </c>
      <c r="C262" s="1027">
        <f aca="true" t="shared" si="148" ref="C262:I262">C168</f>
        <v>0</v>
      </c>
      <c r="D262" s="1018">
        <f t="shared" si="148"/>
        <v>0</v>
      </c>
      <c r="E262" s="1018">
        <f t="shared" si="148"/>
        <v>0</v>
      </c>
      <c r="F262" s="1018">
        <f t="shared" si="148"/>
        <v>0</v>
      </c>
      <c r="G262" s="1018">
        <f t="shared" si="148"/>
        <v>0</v>
      </c>
      <c r="H262" s="1018">
        <f t="shared" si="148"/>
        <v>0</v>
      </c>
      <c r="I262" s="1018">
        <f t="shared" si="148"/>
        <v>0</v>
      </c>
      <c r="J262" s="1014">
        <f aca="true" t="shared" si="149" ref="J262:O262">J168</f>
        <v>0.0013968367052339162</v>
      </c>
      <c r="K262" s="1014">
        <f t="shared" si="149"/>
        <v>0.002850324942068207</v>
      </c>
      <c r="L262" s="1014">
        <f t="shared" si="149"/>
        <v>0.00436206122921072</v>
      </c>
      <c r="M262" s="1014">
        <f t="shared" si="149"/>
        <v>0.005933681785598068</v>
      </c>
      <c r="N262" s="1014">
        <f t="shared" si="149"/>
        <v>0.0060534462829345045</v>
      </c>
      <c r="O262" s="1023">
        <f t="shared" si="149"/>
        <v>0.006175399260410038</v>
      </c>
    </row>
    <row r="263" spans="1:15" ht="15">
      <c r="A263" s="864" t="s">
        <v>571</v>
      </c>
      <c r="B263" s="1026">
        <f>B191</f>
        <v>0</v>
      </c>
      <c r="C263" s="1027">
        <f aca="true" t="shared" si="150" ref="C263:I263">C191</f>
        <v>0</v>
      </c>
      <c r="D263" s="1018">
        <f t="shared" si="150"/>
        <v>0</v>
      </c>
      <c r="E263" s="1018">
        <f t="shared" si="150"/>
        <v>0</v>
      </c>
      <c r="F263" s="1018">
        <f t="shared" si="150"/>
        <v>0</v>
      </c>
      <c r="G263" s="1018">
        <f t="shared" si="150"/>
        <v>0</v>
      </c>
      <c r="H263" s="1018">
        <f t="shared" si="150"/>
        <v>0</v>
      </c>
      <c r="I263" s="1018">
        <f t="shared" si="150"/>
        <v>0</v>
      </c>
      <c r="J263" s="1014">
        <f aca="true" t="shared" si="151" ref="J263:O263">J191</f>
        <v>0.000824290217792125</v>
      </c>
      <c r="K263" s="1014">
        <f t="shared" si="151"/>
        <v>0.0016805072201168622</v>
      </c>
      <c r="L263" s="1014">
        <f t="shared" si="151"/>
        <v>0.002569637020614626</v>
      </c>
      <c r="M263" s="1014">
        <f t="shared" si="151"/>
        <v>0.003492691735397976</v>
      </c>
      <c r="N263" s="1014">
        <f t="shared" si="151"/>
        <v>0.003560534332041139</v>
      </c>
      <c r="O263" s="1023">
        <f t="shared" si="151"/>
        <v>0.0036297246904621197</v>
      </c>
    </row>
    <row r="264" spans="1:15" ht="15">
      <c r="A264" s="864" t="s">
        <v>531</v>
      </c>
      <c r="B264" s="1026">
        <f>B208</f>
        <v>0</v>
      </c>
      <c r="C264" s="1027">
        <f aca="true" t="shared" si="152" ref="C264:I264">C208</f>
        <v>0</v>
      </c>
      <c r="D264" s="1018">
        <f t="shared" si="152"/>
        <v>0</v>
      </c>
      <c r="E264" s="1018">
        <f t="shared" si="152"/>
        <v>0</v>
      </c>
      <c r="F264" s="1018">
        <f t="shared" si="152"/>
        <v>0</v>
      </c>
      <c r="G264" s="1018">
        <f t="shared" si="152"/>
        <v>0</v>
      </c>
      <c r="H264" s="1018">
        <f t="shared" si="152"/>
        <v>0</v>
      </c>
      <c r="I264" s="1018">
        <f t="shared" si="152"/>
        <v>0</v>
      </c>
      <c r="J264" s="1014">
        <f aca="true" t="shared" si="153" ref="J264:O264">J208</f>
        <v>0.0018624489403118883</v>
      </c>
      <c r="K264" s="1014">
        <f t="shared" si="153"/>
        <v>0.0038004332560909425</v>
      </c>
      <c r="L264" s="1014">
        <f t="shared" si="153"/>
        <v>0.0058160816389476264</v>
      </c>
      <c r="M264" s="1014">
        <f t="shared" si="153"/>
        <v>0.007911575714130757</v>
      </c>
      <c r="N264" s="1014">
        <f t="shared" si="153"/>
        <v>0.00807126171057934</v>
      </c>
      <c r="O264" s="1023">
        <f t="shared" si="153"/>
        <v>0.008233865680546718</v>
      </c>
    </row>
    <row r="265" spans="1:15" ht="15">
      <c r="A265" s="864" t="s">
        <v>572</v>
      </c>
      <c r="B265" s="1026">
        <f>B231</f>
        <v>0</v>
      </c>
      <c r="C265" s="1027">
        <f aca="true" t="shared" si="154" ref="C265:I265">C231</f>
        <v>0</v>
      </c>
      <c r="D265" s="1018">
        <f t="shared" si="154"/>
        <v>0</v>
      </c>
      <c r="E265" s="1018">
        <f t="shared" si="154"/>
        <v>0</v>
      </c>
      <c r="F265" s="1018">
        <f t="shared" si="154"/>
        <v>0</v>
      </c>
      <c r="G265" s="1018">
        <f t="shared" si="154"/>
        <v>0</v>
      </c>
      <c r="H265" s="1018">
        <f t="shared" si="154"/>
        <v>0</v>
      </c>
      <c r="I265" s="1018">
        <f t="shared" si="154"/>
        <v>0</v>
      </c>
      <c r="J265" s="1014">
        <f aca="true" t="shared" si="155" ref="J265:O265">J231</f>
        <v>0.0010303627722401565</v>
      </c>
      <c r="K265" s="1014">
        <f t="shared" si="155"/>
        <v>0.0021006340251460776</v>
      </c>
      <c r="L265" s="1014">
        <f t="shared" si="155"/>
        <v>0.0032120462757682824</v>
      </c>
      <c r="M265" s="1014">
        <f t="shared" si="155"/>
        <v>0.00436586466924747</v>
      </c>
      <c r="N265" s="1014">
        <f t="shared" si="155"/>
        <v>0.004450667915051424</v>
      </c>
      <c r="O265" s="1023">
        <f t="shared" si="155"/>
        <v>0.004537155863077649</v>
      </c>
    </row>
    <row r="266" spans="1:15" ht="15">
      <c r="A266" s="972" t="s">
        <v>532</v>
      </c>
      <c r="B266" s="1030">
        <f>B248</f>
        <v>0</v>
      </c>
      <c r="C266" s="1031">
        <f aca="true" t="shared" si="156" ref="C266:I266">C248</f>
        <v>0</v>
      </c>
      <c r="D266" s="1021">
        <f t="shared" si="156"/>
        <v>0</v>
      </c>
      <c r="E266" s="1021">
        <f t="shared" si="156"/>
        <v>0</v>
      </c>
      <c r="F266" s="1021">
        <f t="shared" si="156"/>
        <v>0</v>
      </c>
      <c r="G266" s="1021">
        <f t="shared" si="156"/>
        <v>0</v>
      </c>
      <c r="H266" s="1021">
        <f t="shared" si="156"/>
        <v>0</v>
      </c>
      <c r="I266" s="1021">
        <f t="shared" si="156"/>
        <v>0</v>
      </c>
      <c r="J266" s="1017">
        <f aca="true" t="shared" si="157" ref="J266:O266">J248</f>
        <v>0.002328061175389861</v>
      </c>
      <c r="K266" s="1017">
        <f t="shared" si="157"/>
        <v>0.004750541570113677</v>
      </c>
      <c r="L266" s="1017">
        <f t="shared" si="157"/>
        <v>0.007270102048684534</v>
      </c>
      <c r="M266" s="1017">
        <f t="shared" si="157"/>
        <v>0.009889469642663448</v>
      </c>
      <c r="N266" s="1017">
        <f t="shared" si="157"/>
        <v>0.010089077138224174</v>
      </c>
      <c r="O266" s="1025">
        <f t="shared" si="157"/>
        <v>0.010292332100683399</v>
      </c>
    </row>
  </sheetData>
  <mergeCells count="35">
    <mergeCell ref="F4:G4"/>
    <mergeCell ref="F5:G5"/>
    <mergeCell ref="P11:P31"/>
    <mergeCell ref="A11:O11"/>
    <mergeCell ref="D37:F37"/>
    <mergeCell ref="D12:F12"/>
    <mergeCell ref="A36:O36"/>
    <mergeCell ref="A10:O10"/>
    <mergeCell ref="A12:B12"/>
    <mergeCell ref="P36:P56"/>
    <mergeCell ref="A37:B37"/>
    <mergeCell ref="I12:O12"/>
    <mergeCell ref="D62:F62"/>
    <mergeCell ref="A87:O87"/>
    <mergeCell ref="A86:O86"/>
    <mergeCell ref="A61:O61"/>
    <mergeCell ref="A62:B62"/>
    <mergeCell ref="C85:Q85"/>
    <mergeCell ref="P61:P81"/>
    <mergeCell ref="P171:P196"/>
    <mergeCell ref="P211:P236"/>
    <mergeCell ref="A171:O171"/>
    <mergeCell ref="B172:F172"/>
    <mergeCell ref="A211:O211"/>
    <mergeCell ref="B212:F212"/>
    <mergeCell ref="P88:P99"/>
    <mergeCell ref="P131:P156"/>
    <mergeCell ref="P102:P113"/>
    <mergeCell ref="P116:P121"/>
    <mergeCell ref="A101:O101"/>
    <mergeCell ref="A116:O116"/>
    <mergeCell ref="A131:O131"/>
    <mergeCell ref="B132:F132"/>
    <mergeCell ref="A115:O115"/>
    <mergeCell ref="A130:O130"/>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Loveleen</dc:creator>
  <cp:keywords/>
  <dc:description>Assumptions checked by Hiroshi Yamabana</dc:description>
  <cp:lastModifiedBy>Katharina Bollig</cp:lastModifiedBy>
  <cp:lastPrinted>2013-10-29T06:03:49Z</cp:lastPrinted>
  <dcterms:created xsi:type="dcterms:W3CDTF">2011-01-04T14:43:36Z</dcterms:created>
  <dcterms:modified xsi:type="dcterms:W3CDTF">2016-01-27T09:05:12Z</dcterms:modified>
  <cp:category/>
  <cp:version/>
  <cp:contentType/>
  <cp:contentStatus/>
</cp:coreProperties>
</file>