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3135" yWindow="0" windowWidth="15480" windowHeight="11640" tabRatio="911" activeTab="0"/>
  </bookViews>
  <sheets>
    <sheet name="README" sheetId="14" r:id="rId1"/>
    <sheet name="POP" sheetId="2" r:id="rId2"/>
    <sheet name="EAP" sheetId="4" r:id="rId3"/>
    <sheet name="LPR (AR)" sheetId="40" r:id="rId4"/>
    <sheet name="ECO" sheetId="1" r:id="rId5"/>
    <sheet name="GGO (SQ)" sheetId="19" r:id="rId6"/>
    <sheet name="GGO (Benefits)" sheetId="45" r:id="rId7"/>
    <sheet name="Health" sheetId="43" r:id="rId8"/>
    <sheet name="Children" sheetId="34" r:id="rId9"/>
    <sheet name="Working age" sheetId="35" r:id="rId10"/>
    <sheet name="Elderly" sheetId="36" r:id="rId11"/>
    <sheet name="Maternity" sheetId="37" r:id="rId12"/>
    <sheet name="HIV" sheetId="38" r:id="rId13"/>
    <sheet name="Summary" sheetId="33" r:id="rId14"/>
    <sheet name="Unemployment_Poverty" sheetId="44" r:id="rId15"/>
  </sheets>
  <externalReferences>
    <externalReference r:id="rId18"/>
  </externalReferences>
  <definedNames>
    <definedName name="_xlnm.Print_Area" localSheetId="13">'Summary'!$A$2:$I$43</definedName>
  </definedNames>
  <calcPr calcId="125725"/>
  <extLst/>
</workbook>
</file>

<file path=xl/sharedStrings.xml><?xml version="1.0" encoding="utf-8"?>
<sst xmlns="http://schemas.openxmlformats.org/spreadsheetml/2006/main" count="824" uniqueCount="364">
  <si>
    <t xml:space="preserve"> </t>
  </si>
  <si>
    <t>Age</t>
  </si>
  <si>
    <t>0-4</t>
  </si>
  <si>
    <t>5-9</t>
  </si>
  <si>
    <t>10-14</t>
  </si>
  <si>
    <t>15-19</t>
  </si>
  <si>
    <t>20-24</t>
  </si>
  <si>
    <t>25-29</t>
  </si>
  <si>
    <t>30-34</t>
  </si>
  <si>
    <t>35-39</t>
  </si>
  <si>
    <t>40-44</t>
  </si>
  <si>
    <t>45-49</t>
  </si>
  <si>
    <t>50-54</t>
  </si>
  <si>
    <t>55-59</t>
  </si>
  <si>
    <t>60-64</t>
  </si>
  <si>
    <t>Total</t>
  </si>
  <si>
    <t>GENERAL GOVERNMENT OPERATIONS (STATUS QUO)</t>
  </si>
  <si>
    <t>Children</t>
  </si>
  <si>
    <t>65 +</t>
  </si>
  <si>
    <t>FEMALE POPULATION (5-year age groups, in thousands)</t>
  </si>
  <si>
    <t>MALE POPULATION (5-year age groups, in thousands)</t>
  </si>
  <si>
    <t>TOTAL POPULATION (5-year age groups, in thousands)</t>
  </si>
  <si>
    <t>MALE POPULATION (single age, in thousands)</t>
  </si>
  <si>
    <t>FEMALE POPULATION (single age, in thousands)</t>
  </si>
  <si>
    <t>TOTAL POPULATION (single age, in thousands)</t>
  </si>
  <si>
    <t>Modified:</t>
  </si>
  <si>
    <t>User Name:</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</si>
  <si>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</si>
  <si>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</si>
  <si>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</si>
  <si>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</si>
  <si>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</si>
  <si>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</si>
  <si>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</si>
  <si>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</si>
  <si>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</si>
  <si>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</si>
  <si>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</si>
  <si>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</si>
  <si>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</si>
  <si>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</si>
  <si>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</si>
  <si>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</si>
  <si>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</si>
  <si>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</si>
  <si>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MACROECONOMIC FRAMEWORK</t>
  </si>
  <si>
    <t>-GDP structure by sector (in percent)</t>
  </si>
  <si>
    <t>The 9 basic worksheets are:</t>
  </si>
  <si>
    <t>C. METHODOLOGY:</t>
  </si>
  <si>
    <t>D. MAIN FEATURES:</t>
  </si>
  <si>
    <t>E. MODEL STRUCTURE:</t>
  </si>
  <si>
    <t>F. DATA REQUIREMENTS AND SOURCES:</t>
  </si>
  <si>
    <t>G. INSTRUCTIONS:</t>
  </si>
  <si>
    <t>H. DEFINITIONS AND FORMULAS:</t>
  </si>
  <si>
    <r>
      <rPr>
        <b/>
        <sz val="11"/>
        <color indexed="8"/>
        <rFont val="Calibri"/>
        <family val="2"/>
      </rPr>
      <t>(iii) Gross domestic product at current prices (by sector composition).</t>
    </r>
    <r>
      <rPr>
        <sz val="11"/>
        <color theme="1"/>
        <rFont val="Calibri"/>
        <family val="2"/>
        <scheme val="minor"/>
      </rPr>
      <t xml:space="preserve"> The GDP at current prices reflects the total amount of goods and services produced in the country within a year at prices of current reporting period.</t>
    </r>
  </si>
  <si>
    <r>
      <rPr>
        <b/>
        <sz val="11"/>
        <color indexed="8"/>
        <rFont val="Calibri"/>
        <family val="2"/>
      </rPr>
      <t>(iv) GDP deflator.</t>
    </r>
    <r>
      <rPr>
        <sz val="11"/>
        <color theme="1"/>
        <rFont val="Calibri"/>
        <family val="2"/>
        <scheme val="minor"/>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</si>
  <si>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t>C. METHODOLOGY</t>
  </si>
  <si>
    <t>D. MAIN FEATURES</t>
  </si>
  <si>
    <t>E. MODEL STRUCTURE</t>
  </si>
  <si>
    <t>F. DATA REQUIREMENTS AND SOURCES</t>
  </si>
  <si>
    <t>G. INSTRUCTIONS</t>
  </si>
  <si>
    <t>H. DEFINITIONS AND FORMULAS</t>
  </si>
  <si>
    <t>DEMOGRAPHIC FRAMEWORK</t>
  </si>
  <si>
    <t>Labour market model</t>
  </si>
  <si>
    <t>Macroeconomic model</t>
  </si>
  <si>
    <t>TECHNICAL GUIDE</t>
  </si>
  <si>
    <t>A. SCOPE</t>
  </si>
  <si>
    <t>B. DISCLAIMER</t>
  </si>
  <si>
    <r>
      <t xml:space="preserve">The Rapid Assessment Protocol consist of a single Excel workbook of 9 </t>
    </r>
    <r>
      <rPr>
        <u val="single"/>
        <sz val="11"/>
        <color indexed="8"/>
        <rFont val="Calibri"/>
        <family val="2"/>
      </rPr>
      <t>basic</t>
    </r>
    <r>
      <rPr>
        <sz val="11"/>
        <color theme="1"/>
        <rFont val="Calibri"/>
        <family val="2"/>
        <scheme val="minor"/>
      </rPr>
      <t xml:space="preserve"> worksheets, eight of which provide instructions and set the demographic, labour market, macroeconomic and government's financial framework. The other worksheet provides a cost estimate of a single benefit case. However, </t>
    </r>
    <r>
      <rPr>
        <u val="single"/>
        <sz val="11"/>
        <color indexed="8"/>
        <rFont val="Calibri"/>
        <family val="2"/>
      </rPr>
      <t>the user can add as many worksheets as extra benefits are included in the costing exercise</t>
    </r>
    <r>
      <rPr>
        <sz val="11"/>
        <color theme="1"/>
        <rFont val="Calibri"/>
        <family val="2"/>
        <scheme val="minor"/>
      </rPr>
      <t>.</t>
    </r>
  </si>
  <si>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</si>
  <si>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</si>
  <si>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</si>
  <si>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</si>
  <si>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</si>
  <si>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</si>
  <si>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</si>
  <si>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</si>
  <si>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t>MALE ECONOMICALLY ACTIVE POPULATION (in thousands)</t>
  </si>
  <si>
    <r>
      <rPr>
        <b/>
        <sz val="11"/>
        <color indexed="8"/>
        <rFont val="Calibri"/>
        <family val="2"/>
      </rPr>
      <t>(v) Labour productivity.</t>
    </r>
    <r>
      <rPr>
        <sz val="11"/>
        <color theme="1"/>
        <rFont val="Calibri"/>
        <family val="2"/>
        <scheme val="minor"/>
      </rPr>
      <t xml:space="preserve"> The labour productivity measures the efficiency of production at the level of the individual, the enterprise or the specific economic sector. It is usually measured in terms of output per worker or per hour worked </t>
    </r>
    <r>
      <rPr>
        <sz val="11"/>
        <color indexed="12"/>
        <rFont val="Calibri"/>
        <family val="2"/>
      </rPr>
      <t>[2]</t>
    </r>
    <r>
      <rPr>
        <sz val="11"/>
        <color theme="1"/>
        <rFont val="Calibri"/>
        <family val="2"/>
        <scheme val="minor"/>
      </rPr>
      <t xml:space="preserve">. In the RAP, the user must provide the labour productivity growth rates (either assumed or projected) so the future labour productivity can be estimated. However, the labour productivity at time </t>
    </r>
    <r>
      <rPr>
        <i/>
        <sz val="11"/>
        <color indexed="8"/>
        <rFont val="Calibri"/>
        <family val="2"/>
      </rPr>
      <t>t,</t>
    </r>
    <r>
      <rPr>
        <sz val="11"/>
        <color theme="1"/>
        <rFont val="Calibri"/>
        <family val="2"/>
        <scheme val="minor"/>
      </rPr>
      <t xml:space="preserve"> as well as in precedent years, is calculated as the ratio of the GDP at constant prices (by sector) to the number of employed workers in the same period.</t>
    </r>
  </si>
  <si>
    <r>
      <t>[2]</t>
    </r>
    <r>
      <rPr>
        <sz val="11"/>
        <rFont val="Calibri"/>
        <family val="2"/>
      </rPr>
      <t xml:space="preserve"> ILO Thesaurus (search for "labour productivity")</t>
    </r>
  </si>
  <si>
    <r>
      <rPr>
        <b/>
        <sz val="11"/>
        <color indexed="8"/>
        <rFont val="Calibri"/>
        <family val="2"/>
      </rPr>
      <t>(iii) AR</t>
    </r>
    <r>
      <rPr>
        <sz val="11"/>
        <color theme="1"/>
        <rFont val="Calibri"/>
        <family val="2"/>
        <scheme val="minor"/>
      </rPr>
      <t>. The Activity Rates (AR) worksheet has 3 tables, organised by 5-year age groups and sex (male, female and total).</t>
    </r>
  </si>
  <si>
    <r>
      <rPr>
        <b/>
        <sz val="11"/>
        <color indexed="8"/>
        <rFont val="Calibri"/>
        <family val="2"/>
      </rPr>
      <t>(ii) POP</t>
    </r>
    <r>
      <rPr>
        <sz val="11"/>
        <color theme="1"/>
        <rFont val="Calibri"/>
        <family val="2"/>
        <scheme val="minor"/>
      </rPr>
      <t>. The Population (POP) worksheet has 6 tables, 3 for 5-year age groups and 3 for single age groups (male, female and total).</t>
    </r>
  </si>
  <si>
    <r>
      <rPr>
        <b/>
        <sz val="11"/>
        <color indexed="8"/>
        <rFont val="Calibri"/>
        <family val="2"/>
      </rPr>
      <t>(v) ECO</t>
    </r>
    <r>
      <rPr>
        <sz val="11"/>
        <color theme="1"/>
        <rFont val="Calibri"/>
        <family val="2"/>
        <scheme val="minor"/>
      </rPr>
      <t>. The macroeconomic framework (ECO) is set based on historical data collected and forecasts made by the user.</t>
    </r>
  </si>
  <si>
    <r>
      <rPr>
        <b/>
        <sz val="11"/>
        <color indexed="8"/>
        <rFont val="Calibri"/>
        <family val="2"/>
      </rPr>
      <t>(vi) GGO(SQ)</t>
    </r>
    <r>
      <rPr>
        <sz val="11"/>
        <color theme="1"/>
        <rFont val="Calibri"/>
        <family val="2"/>
        <scheme val="minor"/>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</si>
  <si>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rPr>
        <b/>
        <sz val="11"/>
        <color indexed="8"/>
        <rFont val="Calibri"/>
        <family val="2"/>
      </rPr>
      <t>(i) README</t>
    </r>
    <r>
      <rPr>
        <sz val="11"/>
        <color theme="1"/>
        <rFont val="Calibri"/>
        <family val="2"/>
        <scheme val="minor"/>
      </rPr>
      <t>. This worksheet provides important information about the scope, methodology, structure and data requirements of the Rapid Assessment Tool. It also provides basic information on the model version, the latest modification date and the user.</t>
    </r>
  </si>
  <si>
    <r>
      <t>(vii) BEN(1).</t>
    </r>
    <r>
      <rPr>
        <sz val="11"/>
        <color theme="1"/>
        <rFont val="Calibri"/>
        <family val="2"/>
        <scheme val="minor"/>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</si>
  <si>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1"/>
        <color theme="1"/>
        <rFont val="Calibri"/>
        <family val="2"/>
        <scheme val="minor"/>
      </rPr>
      <t>Compared to the GGO(SQ), this worksheet contains additional lines in the expenditure component which correspond to each one of the benefits included in the floor. This worksheet reflects the general government's expenditure level in a benefits scenario.</t>
    </r>
  </si>
  <si>
    <t>-Activity rates by age (single age or 5-year age groups) and sex</t>
  </si>
  <si>
    <r>
      <t xml:space="preserve">In formula (1) </t>
    </r>
    <r>
      <rPr>
        <i/>
        <sz val="11"/>
        <color indexed="8"/>
        <rFont val="Calibri"/>
        <family val="2"/>
      </rPr>
      <t>s</t>
    </r>
    <r>
      <rPr>
        <sz val="11"/>
        <color theme="1"/>
        <rFont val="Calibri"/>
        <family val="2"/>
        <scheme val="minor"/>
      </rPr>
      <t xml:space="preserve"> refers to the sex (male, female), </t>
    </r>
    <r>
      <rPr>
        <i/>
        <sz val="11"/>
        <color indexed="8"/>
        <rFont val="Calibri"/>
        <family val="2"/>
      </rPr>
      <t>x</t>
    </r>
    <r>
      <rPr>
        <sz val="11"/>
        <color theme="1"/>
        <rFont val="Calibri"/>
        <family val="2"/>
        <scheme val="minor"/>
      </rPr>
      <t xml:space="preserve"> to the age (single age or age group) and </t>
    </r>
    <r>
      <rPr>
        <i/>
        <sz val="11"/>
        <color indexed="8"/>
        <rFont val="Calibri"/>
        <family val="2"/>
      </rPr>
      <t>t</t>
    </r>
    <r>
      <rPr>
        <sz val="11"/>
        <color theme="1"/>
        <rFont val="Calibri"/>
        <family val="2"/>
        <scheme val="minor"/>
      </rPr>
      <t xml:space="preserve"> to the year.</t>
    </r>
  </si>
  <si>
    <r>
      <t xml:space="preserve">In formula (2),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t>
    </r>
    <r>
      <rPr>
        <sz val="11"/>
        <color theme="1"/>
        <rFont val="Calibri"/>
        <family val="2"/>
        <scheme val="minor"/>
      </rPr>
      <t xml:space="preserve"> is the sector-specific real GDP growth rate in a particular year.</t>
    </r>
  </si>
  <si>
    <r>
      <t xml:space="preserve">In formula (4), </t>
    </r>
    <r>
      <rPr>
        <i/>
        <sz val="11"/>
        <color indexed="8"/>
        <rFont val="Calibri"/>
        <family val="2"/>
      </rPr>
      <t xml:space="preserve">t </t>
    </r>
    <r>
      <rPr>
        <sz val="11"/>
        <color theme="1"/>
        <rFont val="Calibri"/>
        <family val="2"/>
        <scheme val="minor"/>
      </rPr>
      <t xml:space="preserve">refers to the base year and </t>
    </r>
    <r>
      <rPr>
        <i/>
        <sz val="11"/>
        <color indexed="8"/>
        <rFont val="Calibri"/>
        <family val="2"/>
      </rPr>
      <t xml:space="preserve"> h</t>
    </r>
    <r>
      <rPr>
        <sz val="11"/>
        <color theme="1"/>
        <rFont val="Calibri"/>
        <family val="2"/>
        <scheme val="minor"/>
      </rPr>
      <t xml:space="preserve"> to the GDP deflator growth rate.</t>
    </r>
  </si>
  <si>
    <r>
      <t xml:space="preserve">In formula (3),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GDP Def</t>
    </r>
    <r>
      <rPr>
        <sz val="11"/>
        <color theme="1"/>
        <rFont val="Calibri"/>
        <family val="2"/>
        <scheme val="minor"/>
      </rPr>
      <t xml:space="preserve"> to the GDP deflator in a particular year.</t>
    </r>
  </si>
  <si>
    <r>
      <t xml:space="preserve">In formula (5),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j</t>
    </r>
    <r>
      <rPr>
        <sz val="11"/>
        <color theme="1"/>
        <rFont val="Calibri"/>
        <family val="2"/>
        <scheme val="minor"/>
      </rPr>
      <t xml:space="preserve"> to a selected year, </t>
    </r>
    <r>
      <rPr>
        <i/>
        <sz val="11"/>
        <color indexed="8"/>
        <rFont val="Calibri"/>
        <family val="2"/>
      </rPr>
      <t>t</t>
    </r>
    <r>
      <rPr>
        <sz val="11"/>
        <color theme="1"/>
        <rFont val="Calibri"/>
        <family val="2"/>
        <scheme val="minor"/>
      </rPr>
      <t xml:space="preserve"> to the base year, </t>
    </r>
    <r>
      <rPr>
        <i/>
        <sz val="11"/>
        <color indexed="8"/>
        <rFont val="Calibri"/>
        <family val="2"/>
      </rPr>
      <t>E</t>
    </r>
    <r>
      <rPr>
        <sz val="11"/>
        <color theme="1"/>
        <rFont val="Calibri"/>
        <family val="2"/>
        <scheme val="minor"/>
      </rPr>
      <t xml:space="preserve"> to the number of employed workers and </t>
    </r>
    <r>
      <rPr>
        <i/>
        <sz val="11"/>
        <color indexed="8"/>
        <rFont val="Calibri"/>
        <family val="2"/>
      </rPr>
      <t>l</t>
    </r>
    <r>
      <rPr>
        <sz val="11"/>
        <color theme="1"/>
        <rFont val="Calibri"/>
        <family val="2"/>
        <scheme val="minor"/>
      </rPr>
      <t xml:space="preserve"> to the labour productivity growth rate.</t>
    </r>
  </si>
  <si>
    <r>
      <t>(ix) SUM.</t>
    </r>
    <r>
      <rPr>
        <sz val="11"/>
        <color theme="1"/>
        <rFont val="Calibri"/>
        <family val="2"/>
        <scheme val="minor"/>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</si>
  <si>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1"/>
        <color indexed="8"/>
        <rFont val="Calibri"/>
        <family val="2"/>
      </rPr>
      <t>(ii) Gross domestic product at constant prices (by sector composition</t>
    </r>
    <r>
      <rPr>
        <sz val="11"/>
        <color theme="1"/>
        <rFont val="Calibri"/>
        <family val="2"/>
        <scheme val="minor"/>
      </rPr>
      <t xml:space="preserve">). The GDP at constant prices is an output volume indicator expressed in terms of a reference period. </t>
    </r>
  </si>
  <si>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</si>
  <si>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r>
      <rPr>
        <b/>
        <sz val="11"/>
        <color indexed="8"/>
        <rFont val="Calibri"/>
        <family val="2"/>
      </rPr>
      <t>(iv) EAP</t>
    </r>
    <r>
      <rPr>
        <sz val="11"/>
        <color theme="1"/>
        <rFont val="Calibri"/>
        <family val="2"/>
        <scheme val="minor"/>
      </rPr>
      <t>. This worksheet shows the results of the Economically Active Population EAP and uses as input the data from the Population (POP) and ActivityRates (AR) worksheets.</t>
    </r>
  </si>
  <si>
    <r>
      <rPr>
        <b/>
        <sz val="11"/>
        <color indexed="8"/>
        <rFont val="Calibri"/>
        <family val="2"/>
      </rPr>
      <t>(i) Economically Active Population.</t>
    </r>
    <r>
      <rPr>
        <sz val="11"/>
        <color theme="1"/>
        <rFont val="Calibri"/>
        <family val="2"/>
        <scheme val="minor"/>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1"/>
        <color indexed="12"/>
        <rFont val="Calibri"/>
        <family val="2"/>
      </rPr>
      <t>[1]</t>
    </r>
    <r>
      <rPr>
        <sz val="11"/>
        <color theme="1"/>
        <rFont val="Calibri"/>
        <family val="2"/>
        <scheme val="minor"/>
      </rPr>
      <t xml:space="preserve">. In the RAP, the Economically Active Population </t>
    </r>
    <r>
      <rPr>
        <i/>
        <sz val="11"/>
        <color indexed="8"/>
        <rFont val="Calibri"/>
        <family val="2"/>
      </rPr>
      <t>(EAP)</t>
    </r>
    <r>
      <rPr>
        <sz val="11"/>
        <color theme="1"/>
        <rFont val="Calibri"/>
        <family val="2"/>
        <scheme val="minor"/>
      </rPr>
      <t xml:space="preserve"> is equal to the product between the population (</t>
    </r>
    <r>
      <rPr>
        <i/>
        <sz val="11"/>
        <color indexed="8"/>
        <rFont val="Calibri"/>
        <family val="2"/>
      </rPr>
      <t>POP</t>
    </r>
    <r>
      <rPr>
        <sz val="11"/>
        <color theme="1"/>
        <rFont val="Calibri"/>
        <family val="2"/>
        <scheme val="minor"/>
      </rPr>
      <t>) and the activity rates (</t>
    </r>
    <r>
      <rPr>
        <i/>
        <sz val="11"/>
        <color indexed="8"/>
        <rFont val="Calibri"/>
        <family val="2"/>
      </rPr>
      <t>AR</t>
    </r>
    <r>
      <rPr>
        <sz val="11"/>
        <color theme="1"/>
        <rFont val="Calibri"/>
        <family val="2"/>
        <scheme val="minor"/>
      </rPr>
      <t>) for each sex-age group.</t>
    </r>
  </si>
  <si>
    <t>FEMALE ECONOMICALLY ACTIVE POPULATION (in thousands)</t>
  </si>
  <si>
    <t>GDP deflator (index)</t>
  </si>
  <si>
    <t>1.1</t>
  </si>
  <si>
    <t>Social Protection Sector</t>
  </si>
  <si>
    <t>75+</t>
  </si>
  <si>
    <t>60+</t>
  </si>
  <si>
    <t>Coresia</t>
  </si>
  <si>
    <t xml:space="preserve">-Employed population </t>
  </si>
  <si>
    <t>Average monthly wage (COD)</t>
  </si>
  <si>
    <t>Average wage increase</t>
  </si>
  <si>
    <t>National poverty line (COD/month)</t>
  </si>
  <si>
    <t>GDP at constant prices (COD billion)</t>
  </si>
  <si>
    <t xml:space="preserve">GDP growth </t>
  </si>
  <si>
    <t>Change in GDP deflator</t>
  </si>
  <si>
    <t>Change in labour productivity</t>
  </si>
  <si>
    <t>GDP at current prices (COD billion)</t>
  </si>
  <si>
    <t>Unemployment rate</t>
  </si>
  <si>
    <t>HEALTH CARE GUARANTEE</t>
  </si>
  <si>
    <t>Health</t>
  </si>
  <si>
    <t>HIV</t>
  </si>
  <si>
    <t>Elderly</t>
  </si>
  <si>
    <t>Maternity</t>
  </si>
  <si>
    <t>Cost as % of GDP</t>
  </si>
  <si>
    <t>Total population (000s)</t>
  </si>
  <si>
    <t>Target group (000s)</t>
  </si>
  <si>
    <t>Cost as % of Govt. expenditure</t>
  </si>
  <si>
    <t>Scenario 2: Extension of PHCP to all informal economy workers</t>
  </si>
  <si>
    <t xml:space="preserve">Working age </t>
  </si>
  <si>
    <t>Low scenario</t>
  </si>
  <si>
    <t>High scenario</t>
  </si>
  <si>
    <t>CHILDREN GUARANTEE</t>
  </si>
  <si>
    <t>WORKING AGE GUARANTEE</t>
  </si>
  <si>
    <t>MATERNITY GUARANTEE</t>
  </si>
  <si>
    <t>Total number of births (000s)</t>
  </si>
  <si>
    <t>HIV GUARANTEE</t>
  </si>
  <si>
    <t>Most-at-risk population (000s)</t>
  </si>
  <si>
    <t>HIV+ people (000s)</t>
  </si>
  <si>
    <t>HIV+ people requiring ARV (000s)</t>
  </si>
  <si>
    <t>Proportion of ARV line 1 users</t>
  </si>
  <si>
    <t>Proportion of ARV line 2 users</t>
  </si>
  <si>
    <t>Per head cost of CD4</t>
  </si>
  <si>
    <t>Per head cost of viral load</t>
  </si>
  <si>
    <t>Per head cost of ARV line 1</t>
  </si>
  <si>
    <t>Per head cost of ARV line 2</t>
  </si>
  <si>
    <t>Pregnant women with syphilis (000s)</t>
  </si>
  <si>
    <t>Per head cost of antibiotic treatment</t>
  </si>
  <si>
    <t>Per head cost of MTCT prevention</t>
  </si>
  <si>
    <t>Working age</t>
  </si>
  <si>
    <t>Take-up rate (%)</t>
  </si>
  <si>
    <t>Target group covered by this scenario (000s)</t>
  </si>
  <si>
    <t xml:space="preserve">Headline inflation (incl food energy) </t>
  </si>
  <si>
    <t>Fertility rate</t>
  </si>
  <si>
    <t>National poverty rate (%)</t>
  </si>
  <si>
    <t xml:space="preserve">Per capita health expenditure (COD) </t>
  </si>
  <si>
    <t xml:space="preserve">Govt. per capita health expenditure (COD) </t>
  </si>
  <si>
    <t>Per head cost of one mid-day meal</t>
  </si>
  <si>
    <t>Per head cost of one milk bottle</t>
  </si>
  <si>
    <t>Total informal population (000s)</t>
  </si>
  <si>
    <t>Total uncovered (000s)</t>
  </si>
  <si>
    <t>Total rural households (000s)</t>
  </si>
  <si>
    <t>Rural population (000s)</t>
  </si>
  <si>
    <t>Wage rate/day (COD)</t>
  </si>
  <si>
    <t>Poverty alleviation component/day (COD)</t>
  </si>
  <si>
    <r>
      <t>Poverty alleviation</t>
    </r>
    <r>
      <rPr>
        <b/>
        <sz val="11"/>
        <color rgb="FFFF0000"/>
        <rFont val="Calibri"/>
        <family val="2"/>
        <scheme val="minor"/>
      </rPr>
      <t xml:space="preserve"> </t>
    </r>
  </si>
  <si>
    <t xml:space="preserve">Skill training </t>
  </si>
  <si>
    <t>Informal economy population (IEP) of 75+ years (000s)</t>
  </si>
  <si>
    <t>IEP covered by VPP (000s)</t>
  </si>
  <si>
    <t>Cost of UPS at status quo (COD million)</t>
  </si>
  <si>
    <t>Total population in 60+ age group (000s)</t>
  </si>
  <si>
    <t>IEP in 60+ age group (000s)</t>
  </si>
  <si>
    <t>`</t>
  </si>
  <si>
    <t>Total number of births in the informal sector (000s)</t>
  </si>
  <si>
    <t>Cost of VCT (COD million)</t>
  </si>
  <si>
    <t>Cost of CD4 (COD million)</t>
  </si>
  <si>
    <t>Cost of viral load (COD million)</t>
  </si>
  <si>
    <t>Cost of CD4 and viral load check-ups (COD million)</t>
  </si>
  <si>
    <t>Cost of ARV line 1 (COD million)</t>
  </si>
  <si>
    <t>Cost of ARV line 2 (COD million)</t>
  </si>
  <si>
    <t>Cost of ARV treatment (COD million)</t>
  </si>
  <si>
    <t>Cost of MTCT prevention (COD million)</t>
  </si>
  <si>
    <t>Cost of syphilis test (COD million)</t>
  </si>
  <si>
    <t>Cost of antibiotic treatment (COD million)</t>
  </si>
  <si>
    <t>Benefits per head per year (COD)</t>
  </si>
  <si>
    <t>Admin cost per head per year (COD)</t>
  </si>
  <si>
    <t>Benefits per head (COD)</t>
  </si>
  <si>
    <t>Total cost of providing benefits per head (COD)</t>
  </si>
  <si>
    <t>Additional benefits per head per year (COD)</t>
  </si>
  <si>
    <t>Benefits per household per year (COD)</t>
  </si>
  <si>
    <t>Admin cost per head per year (COD 000s)</t>
  </si>
  <si>
    <t>Total cost of providing benefits (COD million)</t>
  </si>
  <si>
    <t>Admin cost per head per year (COD million)</t>
  </si>
  <si>
    <t>Cost of Scenario 1 (COD million)</t>
  </si>
  <si>
    <t>Cost of Scenario 2 (COD million)</t>
  </si>
  <si>
    <t>Cost of Scenario 3 (COD million)</t>
  </si>
  <si>
    <t>Take-up rate</t>
  </si>
  <si>
    <t>Transportation cost for VCT (COD million)</t>
  </si>
  <si>
    <t>Transportation cost for ARV treatment (COD million)</t>
  </si>
  <si>
    <t>Transportation cost for CD4 and viral load (COD million)</t>
  </si>
  <si>
    <t>Total cost of benefits (COD million)</t>
  </si>
  <si>
    <t>Admin cost per year (COD million)</t>
  </si>
  <si>
    <t>65+</t>
  </si>
  <si>
    <t>ABND guide</t>
  </si>
  <si>
    <t xml:space="preserve">Minimum daily wage (COD) </t>
  </si>
  <si>
    <t>Labour productivity (COD/person per year)</t>
  </si>
  <si>
    <t>Males</t>
  </si>
  <si>
    <t>Females</t>
  </si>
  <si>
    <t>EAP male</t>
  </si>
  <si>
    <t>EAP female</t>
  </si>
  <si>
    <t>&lt;15 yrs</t>
  </si>
  <si>
    <t>15-59 yrs</t>
  </si>
  <si>
    <t>Poverty rate among working Age (15-59 yr.)</t>
  </si>
  <si>
    <t>Poverty rate among children (&lt;15 y.)</t>
  </si>
  <si>
    <t>Poverty rate among elderly (60+ yr.)</t>
  </si>
  <si>
    <t>TOTAL ECONOMICALLY ACTIVE POPULATION (in thousands)</t>
  </si>
  <si>
    <t>Assumption: LPR decreases linearily to 15 per cent, to take the government's education policy into account</t>
  </si>
  <si>
    <t>Assumption: LPR remains constant</t>
  </si>
  <si>
    <t>Assumption: LPR decreases linearily to 27 per cent, to take the government's education policy into account</t>
  </si>
  <si>
    <t>Based on a macroeconomic model for Coresia</t>
  </si>
  <si>
    <t>Projected based on GDP growth</t>
  </si>
  <si>
    <t>Increases by 40% in 2012, legalised at COD 300 in 2013, subsequently indexed on headline inflation</t>
  </si>
  <si>
    <t>Unemployment (in 000s)</t>
  </si>
  <si>
    <t>Employment (in 000s)</t>
  </si>
  <si>
    <t>Parameters</t>
  </si>
  <si>
    <t>State revenue and grants (COD billion)</t>
  </si>
  <si>
    <t>State expenditure (COD billion)</t>
  </si>
  <si>
    <t>Budget surplus or deficit (COD billion)</t>
  </si>
  <si>
    <t>Scenario 1: Extension of PHCP to uncovered poor people</t>
  </si>
  <si>
    <t>Total poor (000s)</t>
  </si>
  <si>
    <t>Uncovered poor (000s)</t>
  </si>
  <si>
    <t>Total covered by PHCP (000s)</t>
  </si>
  <si>
    <t>Poor covered by PHCP (000s)</t>
  </si>
  <si>
    <t>Admin cost per year (COD)</t>
  </si>
  <si>
    <t>Admin cost (COD million)</t>
  </si>
  <si>
    <t>Poor children (000s)</t>
  </si>
  <si>
    <t>Total additional benefits per year (COD million)</t>
  </si>
  <si>
    <t>Admin and material cost per year (COD million)</t>
  </si>
  <si>
    <t>Cost as % of Govt. Expenditure</t>
  </si>
  <si>
    <t>Cost of UPS at new level (COD million)</t>
  </si>
  <si>
    <t>Number of births (000s)</t>
  </si>
  <si>
    <t>HIV+ pregnant women requiring MTCT prevention (000s)</t>
  </si>
  <si>
    <t>Total transportation costs (COD million)</t>
  </si>
  <si>
    <t>Table 1. Historical data</t>
  </si>
  <si>
    <t>Table 3. EAP for males and females</t>
  </si>
  <si>
    <t>Calculated by dividing EAP by total population for the age group 15-19</t>
  </si>
  <si>
    <t>Table 4. Unemployment rate (male and female)</t>
  </si>
  <si>
    <t>Table 5. Number of unemployed persons</t>
  </si>
  <si>
    <t>Unemployed (males)</t>
  </si>
  <si>
    <t>Unemployed (females)</t>
  </si>
  <si>
    <t>After 2011 poverty line is indexed on inflation</t>
  </si>
  <si>
    <t>Table 6. Poverty rate by age group as a percentage of total population</t>
  </si>
  <si>
    <t>Table 7. Projection of poverty rate by age group as a percentage of total population</t>
  </si>
  <si>
    <t>Table 8. Number of poor children, poor adults, poor elderly in thousands</t>
  </si>
  <si>
    <t>Table 9. Poverty rate per age groups</t>
  </si>
  <si>
    <t>Projection of GDP growth (at constant price) is given by a macroeconomic model for Coresia</t>
  </si>
  <si>
    <t>Projection of revenues and expenditures is given by a macroeconomic model for Coresia</t>
  </si>
  <si>
    <t>Per capita cost indexed on average wage increase</t>
  </si>
  <si>
    <t>15% because it is a targeted programme (higher admin costs)</t>
  </si>
  <si>
    <t>Table 10. Percentage of poor formal/informal in total population</t>
  </si>
  <si>
    <t>5% because it is a non targeted programme in the informal economy</t>
  </si>
  <si>
    <t>Cost of the transportation allowance per head per year (COD)</t>
  </si>
  <si>
    <t>Cost of transportation allowance (COD million)</t>
  </si>
  <si>
    <t>Total cost of providing the transportation allowance (COD 000s)</t>
  </si>
  <si>
    <t>Cost of scenario 1 (COD million)</t>
  </si>
  <si>
    <t>Cost of scenario 3 (COD million)</t>
  </si>
  <si>
    <t>Scenario 3: Extension of PHCP to all uncovered poor (scenario 1) and transportation allowance for all poor people</t>
  </si>
  <si>
    <t>Scenario 1: Provision of a conditional child allowance of COD 3,000 annually to the poorest 25% of all children</t>
  </si>
  <si>
    <t>Total children in the 0-14 age group (000s)</t>
  </si>
  <si>
    <t>15% because it is a targeted programme</t>
  </si>
  <si>
    <t>Total children in the 3-14 age group (000s)</t>
  </si>
  <si>
    <t>From 2011 to 2013, the coverage of the NGO-based school feeding programme increased by 18%, from 9% to 27%. As of 2014, the government would take over the 27% coverage and then progressiveley increase the coverage.</t>
  </si>
  <si>
    <t>5% because it is a universal scheme</t>
  </si>
  <si>
    <t>Scenario 3: Provision of mid-day meals and milk bottles to all school age children</t>
  </si>
  <si>
    <t>Prevalence rate of disabilities in total population</t>
  </si>
  <si>
    <t>Adult population (000s) - 15 years and above</t>
  </si>
  <si>
    <t>Average people/rural household</t>
  </si>
  <si>
    <t>62.3% is the share of informal employment in total employment; we assume that the same percentage applies when calculating the informal economy population as a percentage of total population</t>
  </si>
  <si>
    <t>62.3% is the share of informal employment in total employment</t>
  </si>
  <si>
    <t>Total informal economy workers (000s)</t>
  </si>
  <si>
    <t>Total informal economy poor workers (000s)</t>
  </si>
  <si>
    <t>Cost of providing training/day/person (COD)</t>
  </si>
  <si>
    <t>We aim at covering all informal economy workers; on average each worker will benefit from the scheme once every five years</t>
  </si>
  <si>
    <t>Target group (000s) of scenario 1</t>
  </si>
  <si>
    <t>10% admin cost because the scheme is "categorical" (informal economy above a certain age), and the scheme needs to identify which people are covered by VPP and UPS</t>
  </si>
  <si>
    <t>This is the additional cost of extending the UPS to more people (all 75+ informal economy) and providing higher benefits (poverty line instead of 500 COD)</t>
  </si>
  <si>
    <t>IEP in 60+ age group covered by VPP (000s)</t>
  </si>
  <si>
    <t>Additional cost of Scenario 1 (COD million)</t>
  </si>
  <si>
    <t>Additional cost of Scenario 2 (COD million)</t>
  </si>
  <si>
    <t>5% because the allowance will be given upon delivery (in hospitals or health centers)</t>
  </si>
  <si>
    <t>Sexually active population i.e. 15-59 years (000s)</t>
  </si>
  <si>
    <t>Per head cost of VCT (positive result)</t>
  </si>
  <si>
    <t>Medicines costs are indexed on inflation</t>
  </si>
  <si>
    <t>Lab test costs are indexed on average wage increase</t>
  </si>
  <si>
    <t>Cost of VCT for positive results (COD million)</t>
  </si>
  <si>
    <t>Cost of VCT for negative results (COD million)</t>
  </si>
  <si>
    <t>Per head cost of VCT (negative result)</t>
  </si>
  <si>
    <t>Per head cost of syphilis test (positive result)</t>
  </si>
  <si>
    <t>Per head cost of syphilis test (negative result)</t>
  </si>
  <si>
    <t>Cost of syphilis test for positive results (COD million)</t>
  </si>
  <si>
    <t>Cost of syphilis test for negative results (COD million)</t>
  </si>
  <si>
    <t>The tests are on the pregnant mother; we assume that the number of pregnant mothers = number of births</t>
  </si>
  <si>
    <t>Proportion of positive results (VCT) for most-at-risk people</t>
  </si>
  <si>
    <t>Proportion of negative results (VCT) for most-at-risk people</t>
  </si>
  <si>
    <t>Proportion of positive results (VCT) for sexually active people</t>
  </si>
  <si>
    <t>Proportion of negative results (VCT) for sexually active people</t>
  </si>
  <si>
    <t>Proportion of positive results for syphilis testing</t>
  </si>
  <si>
    <t>Proportion of negative results for syphilis testing</t>
  </si>
  <si>
    <t>Comments</t>
  </si>
  <si>
    <t>Low</t>
  </si>
  <si>
    <t>High</t>
  </si>
  <si>
    <t xml:space="preserve"> Scenario 2: Provision of a conditional child allowance of COD 4,000 annually to poor children</t>
  </si>
  <si>
    <t>15% because the training component requires some training materials, electricity, etc. and the poverty allowance is targeted</t>
  </si>
  <si>
    <t>Uncovered by VPP and UPS-covered IEP (000s)</t>
  </si>
  <si>
    <t>Table 2a. Projection of unemployment rate for males and females</t>
  </si>
  <si>
    <t>Table 2b. Projection of unemployment rate for males and females (corrected)</t>
  </si>
  <si>
    <t>Note: it is unrealistic to have an unemployment rate below 0.95, this is why we introduced a minimum of 0.95.</t>
  </si>
  <si>
    <t>Existing PHCP covers only a share of all informal economy</t>
  </si>
  <si>
    <t>The objective is to cover all informal economy workers &amp; families</t>
  </si>
  <si>
    <t>We assume 210 school days per year</t>
  </si>
  <si>
    <t>The poverty alleviation component is 50% minimum wage</t>
  </si>
  <si>
    <t>We assume that the prevalence rate is 1.634% and kept constant</t>
  </si>
  <si>
    <t>Only 15% of the rural households will volunteer for the scheme</t>
  </si>
  <si>
    <t>Admin cost of 25% takes into account cost of materials, hiring technical staff/contractors, and so on</t>
  </si>
  <si>
    <t>The proportion of rural population in total population is assumed to remain constant over years</t>
  </si>
  <si>
    <t>Most of the VPP pensioners over 75 years of age in 2011 have received a lump sum payment and not a pension (due to insufficient period of contribution)</t>
  </si>
  <si>
    <t>We assume that fertility rates are constant across informal and formal sector</t>
  </si>
  <si>
    <t>If the result of VCT is positive they get another appointment for CD4 and viral load</t>
  </si>
  <si>
    <t>Depending on the results of CD4 count and viral load check ups, they may have to schedule another appointment for ARV</t>
  </si>
  <si>
    <t>GENERAL GOVERNMENT OPERATIONS (BENEFITS)</t>
  </si>
  <si>
    <t>State expenditure at status quo (COD billion)</t>
  </si>
  <si>
    <t>State expenditure after low scenario (COD billion)</t>
  </si>
  <si>
    <t>State expenditure after high scenario (COD billion)</t>
  </si>
  <si>
    <t>Budget surplus or deficit at status quo (COD billion)</t>
  </si>
  <si>
    <t>Budget surplus or deficit after low scenario (COD billion)</t>
  </si>
  <si>
    <t>Budget surplus or deficit after high scenario (COD billion)</t>
  </si>
  <si>
    <t>Balance (as % of GDP)</t>
  </si>
  <si>
    <t>Balance after high scenario (as % of GDP)</t>
  </si>
  <si>
    <t>Balance after low scenario (as % of GDP)</t>
  </si>
  <si>
    <t>Balance at status quo (as % of GDP)</t>
  </si>
  <si>
    <t>GDP growth is translated into higher increases in productivity, given that employment is near saturation level in Coresia.</t>
  </si>
  <si>
    <t>After a sharp increase due to the introduction of the minimum wage from 2011 to 2013, the average wage increase stabilizes at 6% to take into account productivity increase and inflation</t>
  </si>
  <si>
    <t xml:space="preserve">Note: the calculations for poverty rate follow a simplified approach meant for education purpose only. </t>
  </si>
  <si>
    <t>Coverage of the target group (%)</t>
  </si>
  <si>
    <t>Existing coverage of PHCP (11.5 million or 18% of population) is entirely from the informal economy.</t>
  </si>
  <si>
    <t>LABOUR FORCE PARTICIPATION RATES</t>
  </si>
  <si>
    <t>MALE LABOUR FORCE PARTICIPATION RATES (5-year age groups, in percent)</t>
  </si>
  <si>
    <t>FEMALE LABOUR FORCE PARTICIPATION RATES (5-year age groups, in percent)</t>
  </si>
  <si>
    <t>TOTAL LABOUR FORCE PARTICIPATION RATES (5-year age groups, in percent)</t>
  </si>
  <si>
    <t>Scenario 1: Introduce a universal basic disability allowance of COD 500 per month for all adults with disabilities (15 years of age and above)</t>
  </si>
  <si>
    <t>Scenario 2: Extend a Public Works Programme guaranteeing 100 days of work to rural households at the minimum wage</t>
  </si>
  <si>
    <t>Scenario 3: Provide training for 60 days every 5 years to informal economy workers (employed, unemployed, underemployed) and a daily poverty alleviation payment for poor trainees at 50 per cent of the minimum wage</t>
  </si>
  <si>
    <t>Scenario 1: Provision of UPS benefits at the poverty line level, indexed on inflation, to the elderly aged 75 years and older in the informal economy and not covered by VPP</t>
  </si>
  <si>
    <t>Scenario 2: Extension of UPS benefits at the poverty line level, indexed on inflation, to the elderly aged 60 years and older in the informal economy and not covered by VPP</t>
  </si>
  <si>
    <t>Scenario 3: Extension of UPS benefits at 50 per cent of poverty line level, indexed on inflation, to the elderly aged 60 years and older in the informal economy and covered by VPP</t>
  </si>
  <si>
    <t>Scenario 1: Extend a conditional cash transfer equal to three months of the poverty line (per child), upon delivery, to all informal sector women if they fulfil the conditions of a minimum number of hospital visits and a stipulated nutritional intake</t>
  </si>
  <si>
    <t>Scenario 2: Extend a conditional cash transfer of COD 4,000 (per child) upon delivery to informal sector women, indexed on inflation, if they fulfil the conditions of a minimum number of hospital visits and a stipulated nutritional intake</t>
  </si>
  <si>
    <t>Scenario 3: Extend a conditional cash transfer of COD 6,000 (per child) upon delivery to informal sector women, indexed on inflation, if they fulfil the conditions of a minimum number of hospital visits and a stipulated nutritional intake</t>
  </si>
  <si>
    <t>Scenario 1: Testing (one VCT) for most-at-risk people, check-up (two viral loads and CD4 counts) for all HIV positive people, ARV treatment (line 1 or line 2) for those who are HIV positive and in need of treatment</t>
  </si>
  <si>
    <t>Scenario 2: HIV testing (one VCT) and MTCT prevention, syphilis testing, and antibiotic treatment for all pregnant women</t>
  </si>
  <si>
    <t>Scenario 3: VCT twice per year for sexually active population, check-up (two viral loads and CD4 counts) for all HIV positive people, ARV treatment for those who are HIV positive and in need of treatment, including transportation costs</t>
  </si>
  <si>
    <t>OLD-AGE GUARANTEE</t>
  </si>
  <si>
    <t>Unemployment projections</t>
  </si>
  <si>
    <t>Projections for poverty rate (as percentage of total population)</t>
  </si>
  <si>
    <t>In reality, other factors such as economic growth and poverty line movement also play a part in the projections for poverty rate.</t>
  </si>
  <si>
    <t>Poor informal people as % of total population</t>
  </si>
  <si>
    <t>Poor formal people as % of total population</t>
  </si>
  <si>
    <t>MODULE 11 - RAPID ASSESSMENT PROTOCOL</t>
  </si>
</sst>
</file>

<file path=xl/styles.xml><?xml version="1.0" encoding="utf-8"?>
<styleSheet xmlns="http://schemas.openxmlformats.org/spreadsheetml/2006/main">
  <numFmts count="22">
    <numFmt numFmtId="164" formatCode="_-* #,##0.00_-;\-* #,##0.00_-;_-* &quot;-&quot;??_-;_-@_-"/>
    <numFmt numFmtId="165" formatCode="_(* #,##0_);_(* \(#,##0\);_(* &quot;-&quot;_);_(@_)"/>
    <numFmt numFmtId="166" formatCode="_(* #,##0.00_);_(* \(#,##0.00\);_(* &quot;-&quot;??_);_(@_)"/>
    <numFmt numFmtId="167" formatCode="0.0"/>
    <numFmt numFmtId="168" formatCode="#,##0.0"/>
    <numFmt numFmtId="169" formatCode="[$-409]m/d/yy\ h:mm\ AM/PM;@"/>
    <numFmt numFmtId="170" formatCode="0.0%"/>
    <numFmt numFmtId="171" formatCode="_(* #,##0.0_);_(* \(#,##0.0\);_(* &quot;-&quot;??_);_(@_)"/>
    <numFmt numFmtId="172" formatCode="_(* #,##0_);_(* \(#,##0\);_(* &quot;-&quot;??_);_(@_)"/>
    <numFmt numFmtId="173" formatCode="_(* #,##0_);_(* \(#,##0\);_(* &quot;-&quot;?_);_(@_)"/>
    <numFmt numFmtId="174" formatCode="[$-409]dd/mmm/yy;@"/>
    <numFmt numFmtId="175" formatCode="#,##0.000"/>
    <numFmt numFmtId="176" formatCode="#,##0.0_ ;\-#,##0.0\ "/>
    <numFmt numFmtId="177" formatCode="0.000"/>
    <numFmt numFmtId="178" formatCode="_(&quot;$&quot;* #,##0_);_(&quot;$&quot;* \(#,##0\);_(&quot;$&quot;* &quot;-&quot;_);_(@_)"/>
    <numFmt numFmtId="179" formatCode="_(&quot;$&quot;* #,##0.00_);_(&quot;$&quot;* \(#,##0.00\);_(&quot;$&quot;* &quot;-&quot;??_);_(@_)"/>
    <numFmt numFmtId="180" formatCode="#,##0.000_ ;\-#,##0.000\ "/>
    <numFmt numFmtId="181" formatCode="[$-10409]#,##0.##"/>
    <numFmt numFmtId="182" formatCode="[$-10409]#,###.00"/>
    <numFmt numFmtId="183" formatCode="[$-409]d/mmm/yy;@"/>
    <numFmt numFmtId="184" formatCode="0.000%"/>
    <numFmt numFmtId="185" formatCode="#,##0_ ;\-#,##0\ "/>
  </numFmts>
  <fonts count="81">
    <font>
      <sz val="11"/>
      <color theme="1"/>
      <name val="Calibri"/>
      <family val="2"/>
      <scheme val="minor"/>
    </font>
    <font>
      <sz val="10"/>
      <name val="Arial"/>
      <family val="2"/>
    </font>
    <font>
      <b/>
      <sz val="11"/>
      <color indexed="8"/>
      <name val="Calibri"/>
      <family val="2"/>
    </font>
    <font>
      <i/>
      <sz val="11"/>
      <color indexed="8"/>
      <name val="Calibri"/>
      <family val="2"/>
    </font>
    <font>
      <b/>
      <sz val="13"/>
      <color indexed="8"/>
      <name val="Calibri"/>
      <family val="2"/>
    </font>
    <font>
      <sz val="11"/>
      <name val="Calibri"/>
      <family val="2"/>
    </font>
    <font>
      <u val="single"/>
      <sz val="11"/>
      <color indexed="8"/>
      <name val="Calibri"/>
      <family val="2"/>
    </font>
    <font>
      <b/>
      <sz val="20"/>
      <color indexed="8"/>
      <name val="Calibri"/>
      <family val="2"/>
    </font>
    <font>
      <sz val="14"/>
      <color indexed="8"/>
      <name val="Calibri"/>
      <family val="2"/>
    </font>
    <font>
      <sz val="16"/>
      <color indexed="8"/>
      <name val="Calibri"/>
      <family val="2"/>
    </font>
    <font>
      <u val="single"/>
      <sz val="11"/>
      <color indexed="12"/>
      <name val="Calibri"/>
      <family val="2"/>
    </font>
    <font>
      <b/>
      <sz val="16"/>
      <color indexed="8"/>
      <name val="Calibri"/>
      <family val="2"/>
    </font>
    <font>
      <sz val="11"/>
      <color indexed="12"/>
      <name val="Calibri"/>
      <family val="2"/>
    </font>
    <font>
      <sz val="11"/>
      <color indexed="10"/>
      <name val="Calibri"/>
      <family val="2"/>
    </font>
    <font>
      <sz val="11"/>
      <color indexed="8"/>
      <name val="Calibri"/>
      <family val="2"/>
    </font>
    <font>
      <sz val="10"/>
      <color indexed="8"/>
      <name val="Times New Roman"/>
      <family val="1"/>
    </font>
    <font>
      <sz val="11"/>
      <color indexed="8"/>
      <name val="Times New Roman"/>
      <family val="1"/>
    </font>
    <font>
      <b/>
      <sz val="11"/>
      <color indexed="8"/>
      <name val="Times New Roman"/>
      <family val="1"/>
    </font>
    <font>
      <b/>
      <sz val="13"/>
      <color indexed="12"/>
      <name val="Calibri"/>
      <family val="2"/>
    </font>
    <font>
      <b/>
      <sz val="11"/>
      <name val="Calibri"/>
      <family val="2"/>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3"/>
      <name val="Calibri"/>
      <family val="2"/>
    </font>
    <font>
      <b/>
      <sz val="11"/>
      <color theme="1"/>
      <name val="Calibri"/>
      <family val="2"/>
    </font>
    <font>
      <b/>
      <sz val="11"/>
      <color theme="0"/>
      <name val="Calibri"/>
      <family val="2"/>
      <scheme val="minor"/>
    </font>
    <font>
      <b/>
      <sz val="11"/>
      <color theme="0"/>
      <name val="Calibri"/>
      <family val="2"/>
    </font>
    <font>
      <b/>
      <sz val="11"/>
      <color theme="1" tint="0.24998000264167786"/>
      <name val="Calibri"/>
      <family val="2"/>
    </font>
    <font>
      <sz val="11"/>
      <color theme="1" tint="0.24998000264167786"/>
      <name val="Calibri"/>
      <family val="2"/>
      <scheme val="minor"/>
    </font>
    <font>
      <b/>
      <sz val="11"/>
      <color theme="0"/>
      <name val="Times New Roman"/>
      <family val="1"/>
    </font>
    <font>
      <b/>
      <sz val="14"/>
      <color indexed="8"/>
      <name val="Calibri"/>
      <family val="2"/>
    </font>
    <font>
      <b/>
      <sz val="14"/>
      <name val="Calibri"/>
      <family val="2"/>
    </font>
    <font>
      <b/>
      <sz val="14"/>
      <color indexed="8"/>
      <name val="Calibri"/>
      <family val="2"/>
      <scheme val="minor"/>
    </font>
    <font>
      <u val="single"/>
      <sz val="11"/>
      <color theme="11"/>
      <name val="Calibri"/>
      <family val="2"/>
      <scheme val="minor"/>
    </font>
    <font>
      <sz val="11"/>
      <color theme="1"/>
      <name val="Calibri"/>
      <family val="2"/>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b/>
      <sz val="11"/>
      <color rgb="FFFF0000"/>
      <name val="Calibri"/>
      <family val="2"/>
      <scheme val="minor"/>
    </font>
    <font>
      <sz val="11"/>
      <color rgb="FF000000"/>
      <name val="Calibri"/>
      <family val="2"/>
      <scheme val="minor"/>
    </font>
    <font>
      <i/>
      <sz val="11"/>
      <color theme="1" tint="0.34999001026153564"/>
      <name val="Calibri"/>
      <family val="2"/>
      <scheme val="minor"/>
    </font>
    <font>
      <sz val="10"/>
      <color theme="1"/>
      <name val="Cambria"/>
      <family val="1"/>
    </font>
    <font>
      <sz val="10"/>
      <color theme="1"/>
      <name val="Calibri"/>
      <family val="2"/>
      <scheme val="minor"/>
    </font>
    <font>
      <i/>
      <sz val="11"/>
      <color theme="1"/>
      <name val="Calibri"/>
      <family val="2"/>
      <scheme val="minor"/>
    </font>
    <font>
      <b/>
      <i/>
      <sz val="11"/>
      <color theme="1"/>
      <name val="Calibri"/>
      <family val="2"/>
      <scheme val="minor"/>
    </font>
    <font>
      <b/>
      <i/>
      <sz val="11"/>
      <name val="Calibri"/>
      <family val="2"/>
      <scheme val="minor"/>
    </font>
    <font>
      <b/>
      <sz val="11"/>
      <color rgb="FF000000"/>
      <name val="Calibri"/>
      <family val="2"/>
      <scheme val="minor"/>
    </font>
    <font>
      <sz val="9"/>
      <name val="Calibri"/>
      <family val="2"/>
    </font>
    <font>
      <sz val="11"/>
      <color theme="0"/>
      <name val="Calibri"/>
      <family val="2"/>
      <scheme val="minor"/>
    </font>
    <font>
      <b/>
      <sz val="12"/>
      <name val="Calibri"/>
      <family val="2"/>
    </font>
  </fonts>
  <fills count="3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right/>
      <top/>
      <bottom/>
    </border>
    <border>
      <left/>
      <right style="thin"/>
      <top/>
      <bottom/>
    </border>
    <border>
      <left/>
      <right style="thin"/>
      <top style="thin"/>
      <bottom/>
    </border>
    <border>
      <left/>
      <right/>
      <top style="thin"/>
      <bottom/>
    </border>
    <border>
      <left/>
      <right style="thin"/>
      <top style="thin"/>
      <bottom style="thin"/>
    </border>
    <border>
      <left style="thin"/>
      <right style="thin"/>
      <top style="thin"/>
      <bottom/>
    </border>
    <border>
      <left style="thin"/>
      <right style="thin"/>
      <top/>
      <bottom/>
    </border>
    <border>
      <left style="thin"/>
      <right style="thin"/>
      <top style="thin"/>
      <bottom style="thin"/>
    </border>
    <border>
      <left/>
      <right/>
      <top/>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right/>
      <top style="thin"/>
      <bottom style="thin"/>
    </border>
    <border>
      <left style="thin"/>
      <right/>
      <top style="thin"/>
      <bottom/>
    </border>
  </borders>
  <cellStyleXfs count="4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6" fontId="14" fillId="0" borderId="0" applyFont="0" applyFill="0" applyBorder="0" applyAlignment="0" applyProtection="0"/>
    <xf numFmtId="41" fontId="1" fillId="0" borderId="0" applyFont="0" applyFill="0" applyBorder="0" applyAlignment="0" applyProtection="0"/>
    <xf numFmtId="165" fontId="15" fillId="0" borderId="0" applyFont="0" applyFill="0" applyBorder="0" applyAlignment="0" applyProtection="0"/>
    <xf numFmtId="0" fontId="21" fillId="0" borderId="0" applyNumberFormat="0" applyFill="0" applyBorder="0">
      <alignment/>
      <protection locked="0"/>
    </xf>
    <xf numFmtId="0" fontId="22" fillId="0" borderId="0">
      <alignment/>
      <protection/>
    </xf>
    <xf numFmtId="166" fontId="14" fillId="0" borderId="0" applyFont="0" applyFill="0" applyBorder="0" applyAlignment="0" applyProtection="0"/>
    <xf numFmtId="9" fontId="14"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39" fillId="6" borderId="0" applyNumberFormat="0" applyBorder="0" applyAlignment="0" applyProtection="0"/>
    <xf numFmtId="0" fontId="39" fillId="2"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4"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4" borderId="0" applyNumberFormat="0" applyBorder="0" applyAlignment="0" applyProtection="0"/>
    <xf numFmtId="0" fontId="39" fillId="12" borderId="0" applyNumberFormat="0" applyBorder="0" applyAlignment="0" applyProtection="0"/>
    <xf numFmtId="0" fontId="39" fillId="3"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4"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3" borderId="0" applyNumberFormat="0" applyBorder="0" applyAlignment="0" applyProtection="0"/>
    <xf numFmtId="0" fontId="40" fillId="13"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4"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0" fontId="41" fillId="19" borderId="1" applyNumberFormat="0" applyAlignment="0" applyProtection="0"/>
    <xf numFmtId="164" fontId="1" fillId="0" borderId="0" applyFont="0" applyFill="0" applyBorder="0" applyAlignment="0" applyProtection="0"/>
    <xf numFmtId="164" fontId="42" fillId="0" borderId="0" applyFont="0" applyFill="0" applyBorder="0" applyAlignment="0" applyProtection="0"/>
    <xf numFmtId="164" fontId="14" fillId="0" borderId="0" applyFont="0" applyFill="0" applyBorder="0" applyAlignment="0" applyProtection="0"/>
    <xf numFmtId="166" fontId="43"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44" fillId="0" borderId="0" applyFont="0" applyFill="0" applyBorder="0" applyAlignment="0" applyProtection="0"/>
    <xf numFmtId="166"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5" fillId="0" borderId="0" applyFont="0" applyFill="0" applyBorder="0" applyAlignment="0" applyProtection="0"/>
    <xf numFmtId="164" fontId="39"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4" fillId="0" borderId="0" applyFont="0" applyFill="0" applyBorder="0" applyAlignment="0" applyProtection="0"/>
    <xf numFmtId="164" fontId="4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6" fontId="14"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2" fillId="0" borderId="0">
      <alignment/>
      <protection/>
    </xf>
    <xf numFmtId="0" fontId="14" fillId="0" borderId="0">
      <alignment/>
      <protection/>
    </xf>
    <xf numFmtId="0" fontId="14" fillId="0" borderId="0">
      <alignment/>
      <protection/>
    </xf>
    <xf numFmtId="0" fontId="14" fillId="0" borderId="0">
      <alignment/>
      <protection/>
    </xf>
    <xf numFmtId="0" fontId="43" fillId="0" borderId="0">
      <alignment/>
      <protection/>
    </xf>
    <xf numFmtId="0" fontId="1" fillId="0" borderId="0">
      <alignment/>
      <protection/>
    </xf>
    <xf numFmtId="0" fontId="44" fillId="0" borderId="0">
      <alignment/>
      <protection/>
    </xf>
    <xf numFmtId="0" fontId="1" fillId="0" borderId="0">
      <alignment/>
      <protection/>
    </xf>
    <xf numFmtId="0" fontId="42" fillId="0" borderId="0">
      <alignment/>
      <protection/>
    </xf>
    <xf numFmtId="0" fontId="42" fillId="0" borderId="0">
      <alignment/>
      <protection/>
    </xf>
    <xf numFmtId="0" fontId="45" fillId="0" borderId="0">
      <alignment/>
      <protection/>
    </xf>
    <xf numFmtId="0" fontId="14" fillId="0" borderId="0">
      <alignment/>
      <protection/>
    </xf>
    <xf numFmtId="0" fontId="45" fillId="0" borderId="0">
      <alignment/>
      <protection/>
    </xf>
    <xf numFmtId="0" fontId="45" fillId="0" borderId="0">
      <alignment/>
      <protection/>
    </xf>
    <xf numFmtId="0" fontId="47" fillId="8" borderId="0" applyNumberFormat="0" applyFont="0" applyFill="0" applyBorder="0" applyAlignment="0" applyProtection="0"/>
    <xf numFmtId="0" fontId="1" fillId="0" borderId="0">
      <alignment/>
      <protection/>
    </xf>
    <xf numFmtId="0" fontId="1" fillId="0" borderId="0">
      <alignment/>
      <protection/>
    </xf>
    <xf numFmtId="0" fontId="43" fillId="0" borderId="0">
      <alignment/>
      <protection/>
    </xf>
    <xf numFmtId="0" fontId="14" fillId="0" borderId="0">
      <alignment/>
      <protection/>
    </xf>
    <xf numFmtId="0" fontId="42" fillId="0" borderId="0">
      <alignment/>
      <protection/>
    </xf>
    <xf numFmtId="0" fontId="14" fillId="0" borderId="0">
      <alignment/>
      <protection/>
    </xf>
    <xf numFmtId="0" fontId="39" fillId="0" borderId="0">
      <alignment/>
      <protection/>
    </xf>
    <xf numFmtId="0" fontId="14" fillId="0" borderId="0">
      <alignment/>
      <protection/>
    </xf>
    <xf numFmtId="0" fontId="14" fillId="0" borderId="0">
      <alignment/>
      <protection/>
    </xf>
    <xf numFmtId="0" fontId="42" fillId="0" borderId="0">
      <alignment/>
      <protection/>
    </xf>
    <xf numFmtId="0" fontId="45" fillId="0" borderId="0">
      <alignment/>
      <protection/>
    </xf>
    <xf numFmtId="0" fontId="14" fillId="0" borderId="0">
      <alignment/>
      <protection/>
    </xf>
    <xf numFmtId="0" fontId="45" fillId="0" borderId="0">
      <alignment/>
      <protection/>
    </xf>
    <xf numFmtId="0" fontId="45" fillId="0" borderId="0">
      <alignment/>
      <protection/>
    </xf>
    <xf numFmtId="0" fontId="48" fillId="0" borderId="0">
      <alignment vertical="top"/>
      <protection/>
    </xf>
    <xf numFmtId="0" fontId="14" fillId="0" borderId="0">
      <alignment/>
      <protection/>
    </xf>
    <xf numFmtId="0" fontId="14" fillId="0" borderId="0">
      <alignment/>
      <protection/>
    </xf>
    <xf numFmtId="0" fontId="14" fillId="0" borderId="0">
      <alignment/>
      <protection/>
    </xf>
    <xf numFmtId="0" fontId="45" fillId="0" borderId="0">
      <alignment/>
      <protection/>
    </xf>
    <xf numFmtId="0" fontId="45" fillId="0" borderId="0">
      <alignment/>
      <protection/>
    </xf>
    <xf numFmtId="0" fontId="42" fillId="0" borderId="0">
      <alignment/>
      <protection/>
    </xf>
    <xf numFmtId="0" fontId="14" fillId="0" borderId="0">
      <alignment/>
      <protection/>
    </xf>
    <xf numFmtId="0" fontId="42" fillId="0" borderId="0">
      <alignment/>
      <protection/>
    </xf>
    <xf numFmtId="0" fontId="1" fillId="0" borderId="0">
      <alignment/>
      <protection/>
    </xf>
    <xf numFmtId="178" fontId="1" fillId="0" borderId="0" applyFont="0" applyFill="0" applyBorder="0" applyAlignment="0" applyProtection="0"/>
    <xf numFmtId="179" fontId="1" fillId="0" borderId="0" applyFont="0" applyFill="0" applyBorder="0" applyAlignment="0" applyProtection="0"/>
    <xf numFmtId="9" fontId="42"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3"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9" fillId="2" borderId="2" applyNumberFormat="0" applyAlignment="0" applyProtection="0"/>
    <xf numFmtId="0" fontId="49" fillId="10" borderId="2" applyNumberFormat="0" applyAlignment="0" applyProtection="0"/>
    <xf numFmtId="0" fontId="49" fillId="10" borderId="2" applyNumberFormat="0" applyAlignment="0" applyProtection="0"/>
    <xf numFmtId="0" fontId="49" fillId="2" borderId="2"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19" borderId="1" applyNumberFormat="0" applyAlignment="0" applyProtection="0"/>
    <xf numFmtId="0" fontId="54" fillId="19" borderId="1" applyNumberFormat="0" applyAlignment="0" applyProtection="0"/>
    <xf numFmtId="0" fontId="55" fillId="0" borderId="3" applyNumberFormat="0" applyFill="0" applyAlignment="0" applyProtection="0"/>
    <xf numFmtId="0" fontId="55" fillId="0" borderId="3" applyNumberFormat="0" applyFill="0" applyAlignment="0" applyProtection="0"/>
    <xf numFmtId="0" fontId="56" fillId="6" borderId="0" applyNumberFormat="0" applyBorder="0" applyAlignment="0" applyProtection="0"/>
    <xf numFmtId="0" fontId="56"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7" fillId="4" borderId="2" applyNumberFormat="0" applyAlignment="0" applyProtection="0"/>
    <xf numFmtId="0" fontId="57" fillId="10" borderId="2" applyNumberFormat="0" applyAlignment="0" applyProtection="0"/>
    <xf numFmtId="0" fontId="57" fillId="10" borderId="2" applyNumberFormat="0" applyAlignment="0" applyProtection="0"/>
    <xf numFmtId="0" fontId="57" fillId="4" borderId="2" applyNumberFormat="0" applyAlignment="0" applyProtection="0"/>
    <xf numFmtId="0" fontId="58" fillId="20" borderId="0" applyNumberFormat="0" applyBorder="0" applyAlignment="0" applyProtection="0"/>
    <xf numFmtId="0" fontId="58"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4"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59" fillId="0" borderId="4" applyNumberFormat="0" applyFill="0" applyAlignment="0" applyProtection="0"/>
    <xf numFmtId="0" fontId="60" fillId="5" borderId="0" applyNumberFormat="0" applyBorder="0" applyAlignment="0" applyProtection="0"/>
    <xf numFmtId="0" fontId="61" fillId="5" borderId="0" applyNumberFormat="0" applyBorder="0" applyAlignment="0" applyProtection="0"/>
    <xf numFmtId="0" fontId="40" fillId="15"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3"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27" borderId="0" applyNumberFormat="0" applyBorder="0" applyAlignment="0" applyProtection="0"/>
    <xf numFmtId="0" fontId="62" fillId="2" borderId="6" applyNumberFormat="0" applyAlignment="0" applyProtection="0"/>
    <xf numFmtId="0" fontId="62" fillId="10" borderId="6" applyNumberFormat="0" applyAlignment="0" applyProtection="0"/>
    <xf numFmtId="0" fontId="62" fillId="10" borderId="6" applyNumberFormat="0" applyAlignment="0" applyProtection="0"/>
    <xf numFmtId="0" fontId="62" fillId="2" borderId="6" applyNumberFormat="0" applyAlignment="0" applyProtection="0"/>
    <xf numFmtId="0" fontId="1" fillId="21" borderId="7" applyNumberFormat="0" applyFont="0" applyAlignment="0" applyProtection="0"/>
    <xf numFmtId="0" fontId="39" fillId="20" borderId="7" applyNumberFormat="0" applyFont="0" applyAlignment="0" applyProtection="0"/>
    <xf numFmtId="0" fontId="39" fillId="20" borderId="7" applyNumberFormat="0" applyFont="0" applyAlignment="0" applyProtection="0"/>
    <xf numFmtId="0" fontId="1" fillId="21" borderId="7" applyNumberFormat="0" applyFont="0" applyAlignment="0" applyProtection="0"/>
    <xf numFmtId="0" fontId="63" fillId="0" borderId="8" applyNumberFormat="0" applyFill="0" applyAlignment="0" applyProtection="0"/>
    <xf numFmtId="0" fontId="64" fillId="0" borderId="9" applyNumberFormat="0" applyFill="0" applyAlignment="0" applyProtection="0"/>
    <xf numFmtId="0" fontId="65" fillId="0" borderId="10" applyNumberFormat="0" applyFill="0" applyAlignment="0" applyProtection="0"/>
    <xf numFmtId="0" fontId="66" fillId="0" borderId="10" applyNumberFormat="0" applyFill="0" applyAlignment="0" applyProtection="0"/>
    <xf numFmtId="0" fontId="67" fillId="0" borderId="11" applyNumberFormat="0" applyFill="0" applyAlignment="0" applyProtection="0"/>
    <xf numFmtId="0" fontId="68" fillId="0" borderId="12"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cellStyleXfs>
  <cellXfs count="615">
    <xf numFmtId="0" fontId="0" fillId="0" borderId="0" xfId="0"/>
    <xf numFmtId="0" fontId="0" fillId="2" borderId="0" xfId="0" applyFill="1"/>
    <xf numFmtId="0" fontId="4" fillId="2" borderId="0" xfId="0" applyFont="1" applyFill="1"/>
    <xf numFmtId="49" fontId="0" fillId="2" borderId="0" xfId="0" applyNumberFormat="1" applyFill="1" applyAlignment="1">
      <alignment horizontal="left" indent="1"/>
    </xf>
    <xf numFmtId="0" fontId="0" fillId="2" borderId="0" xfId="0" applyFill="1" applyBorder="1"/>
    <xf numFmtId="49" fontId="4" fillId="2" borderId="0" xfId="0" applyNumberFormat="1" applyFont="1" applyFill="1"/>
    <xf numFmtId="3" fontId="0" fillId="2" borderId="0" xfId="0" applyNumberFormat="1" applyFill="1"/>
    <xf numFmtId="169" fontId="0" fillId="2" borderId="0" xfId="0" applyNumberFormat="1" applyFill="1"/>
    <xf numFmtId="0" fontId="0" fillId="2" borderId="13" xfId="0" applyFill="1" applyBorder="1"/>
    <xf numFmtId="0" fontId="0" fillId="2" borderId="14" xfId="0" applyFill="1" applyBorder="1"/>
    <xf numFmtId="0" fontId="0" fillId="2" borderId="15" xfId="0" applyFill="1" applyBorder="1"/>
    <xf numFmtId="49" fontId="2" fillId="2" borderId="0" xfId="0" applyNumberFormat="1" applyFont="1" applyFill="1"/>
    <xf numFmtId="49" fontId="0" fillId="2" borderId="0" xfId="0" applyNumberFormat="1" applyFill="1"/>
    <xf numFmtId="49" fontId="7" fillId="2" borderId="0" xfId="0" applyNumberFormat="1" applyFont="1" applyFill="1"/>
    <xf numFmtId="49" fontId="9" fillId="2" borderId="0" xfId="0" applyNumberFormat="1" applyFont="1" applyFill="1"/>
    <xf numFmtId="49" fontId="10" fillId="2" borderId="0" xfId="21" applyNumberFormat="1" applyFont="1" applyFill="1" applyAlignment="1" applyProtection="1">
      <alignment/>
      <protection/>
    </xf>
    <xf numFmtId="49" fontId="8" fillId="2" borderId="0" xfId="0" applyNumberFormat="1" applyFont="1" applyFill="1"/>
    <xf numFmtId="49" fontId="0" fillId="2" borderId="0" xfId="0" applyNumberFormat="1" applyFill="1" applyAlignment="1">
      <alignment horizontal="right"/>
    </xf>
    <xf numFmtId="49" fontId="12" fillId="2" borderId="0" xfId="21" applyNumberFormat="1" applyFont="1" applyFill="1" applyAlignment="1" applyProtection="1">
      <alignment/>
      <protection/>
    </xf>
    <xf numFmtId="49" fontId="0" fillId="2" borderId="0" xfId="0" applyNumberFormat="1" applyFill="1" applyAlignment="1">
      <alignment wrapText="1"/>
    </xf>
    <xf numFmtId="11" fontId="0" fillId="2" borderId="0" xfId="0" applyNumberFormat="1" applyFill="1" applyAlignment="1">
      <alignment horizontal="left" vertical="center" wrapText="1"/>
    </xf>
    <xf numFmtId="11" fontId="0" fillId="2" borderId="0" xfId="0" applyNumberFormat="1" applyFill="1" applyAlignment="1">
      <alignment horizontal="left" vertical="center" wrapText="1" indent="1"/>
    </xf>
    <xf numFmtId="49" fontId="0" fillId="2" borderId="0" xfId="0" applyNumberFormat="1" applyFill="1" applyAlignment="1">
      <alignment vertical="center" wrapText="1"/>
    </xf>
    <xf numFmtId="49" fontId="2"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11" fontId="0" fillId="2" borderId="0" xfId="0" applyNumberFormat="1" applyFill="1" applyAlignment="1">
      <alignment/>
    </xf>
    <xf numFmtId="49" fontId="2" fillId="2" borderId="0" xfId="0" applyNumberFormat="1" applyFont="1" applyFill="1" applyAlignment="1">
      <alignment horizontal="left" indent="1"/>
    </xf>
    <xf numFmtId="49" fontId="0" fillId="2" borderId="0" xfId="0" applyNumberFormat="1" applyFill="1" applyAlignment="1">
      <alignment horizontal="center" vertical="center"/>
    </xf>
    <xf numFmtId="49" fontId="0" fillId="2" borderId="0" xfId="0" applyNumberFormat="1" applyFont="1" applyFill="1" applyAlignment="1">
      <alignment horizontal="left" indent="1"/>
    </xf>
    <xf numFmtId="49" fontId="0" fillId="2" borderId="0" xfId="0" applyNumberFormat="1" applyFill="1" applyAlignment="1">
      <alignment horizontal="right" vertical="center" wrapText="1" indent="1"/>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indent="1"/>
    </xf>
    <xf numFmtId="11" fontId="0" fillId="2" borderId="0" xfId="0" applyNumberFormat="1" applyFill="1"/>
    <xf numFmtId="49" fontId="13" fillId="2" borderId="0" xfId="0" applyNumberFormat="1" applyFont="1" applyFill="1"/>
    <xf numFmtId="0" fontId="16" fillId="2" borderId="0" xfId="0" applyFont="1" applyFill="1" applyProtection="1">
      <protection locked="0"/>
    </xf>
    <xf numFmtId="0" fontId="16" fillId="2" borderId="0" xfId="0" applyFont="1" applyFill="1"/>
    <xf numFmtId="0" fontId="17" fillId="2" borderId="0" xfId="0" applyFont="1" applyFill="1" applyProtection="1">
      <protection locked="0"/>
    </xf>
    <xf numFmtId="171" fontId="0" fillId="2" borderId="0" xfId="18" applyNumberFormat="1" applyFont="1" applyFill="1"/>
    <xf numFmtId="0" fontId="0" fillId="2" borderId="0" xfId="0" applyFill="1" applyAlignment="1">
      <alignment horizontal="right"/>
    </xf>
    <xf numFmtId="0" fontId="18" fillId="2" borderId="0" xfId="0" applyFont="1" applyFill="1"/>
    <xf numFmtId="0" fontId="0" fillId="2" borderId="16" xfId="0" applyFill="1" applyBorder="1" applyAlignment="1">
      <alignment horizontal="right"/>
    </xf>
    <xf numFmtId="0" fontId="0" fillId="2" borderId="0" xfId="0" applyFill="1" applyBorder="1" applyAlignment="1">
      <alignment horizontal="right"/>
    </xf>
    <xf numFmtId="3" fontId="0" fillId="2" borderId="13" xfId="0" applyNumberFormat="1" applyFill="1" applyBorder="1" applyAlignment="1">
      <alignment horizontal="right"/>
    </xf>
    <xf numFmtId="3" fontId="0" fillId="2" borderId="0" xfId="0" applyNumberFormat="1" applyFill="1" applyBorder="1" applyAlignment="1">
      <alignment horizontal="right"/>
    </xf>
    <xf numFmtId="3" fontId="0" fillId="2" borderId="14" xfId="0" applyNumberFormat="1" applyFill="1" applyBorder="1" applyAlignment="1">
      <alignment horizontal="right"/>
    </xf>
    <xf numFmtId="0" fontId="24" fillId="2" borderId="0" xfId="0" applyFont="1" applyFill="1"/>
    <xf numFmtId="0" fontId="27" fillId="2" borderId="0" xfId="0" applyFont="1" applyFill="1"/>
    <xf numFmtId="0" fontId="0" fillId="0" borderId="0" xfId="0" applyFill="1"/>
    <xf numFmtId="49" fontId="31" fillId="28" borderId="0" xfId="0" applyNumberFormat="1" applyFont="1" applyFill="1"/>
    <xf numFmtId="49" fontId="32" fillId="28" borderId="0" xfId="0" applyNumberFormat="1" applyFont="1" applyFill="1"/>
    <xf numFmtId="0" fontId="32" fillId="28" borderId="0" xfId="0" applyNumberFormat="1" applyFont="1" applyFill="1" applyAlignment="1">
      <alignment horizontal="right"/>
    </xf>
    <xf numFmtId="49" fontId="32" fillId="28" borderId="0" xfId="0" applyNumberFormat="1" applyFont="1" applyFill="1" applyAlignment="1">
      <alignment horizontal="right"/>
    </xf>
    <xf numFmtId="0" fontId="23" fillId="2" borderId="13" xfId="0" applyFont="1" applyFill="1" applyBorder="1" applyAlignment="1">
      <alignment horizontal="center"/>
    </xf>
    <xf numFmtId="0" fontId="29" fillId="29" borderId="17" xfId="0" applyFont="1" applyFill="1" applyBorder="1" applyAlignment="1">
      <alignment horizontal="right" vertical="center"/>
    </xf>
    <xf numFmtId="3" fontId="29" fillId="29" borderId="17" xfId="0" applyNumberFormat="1" applyFont="1" applyFill="1" applyBorder="1" applyAlignment="1">
      <alignment horizontal="right"/>
    </xf>
    <xf numFmtId="49" fontId="23" fillId="2" borderId="18" xfId="0" applyNumberFormat="1" applyFont="1" applyFill="1" applyBorder="1" applyAlignment="1">
      <alignment horizontal="center"/>
    </xf>
    <xf numFmtId="49" fontId="23" fillId="2" borderId="19" xfId="0" applyNumberFormat="1" applyFont="1" applyFill="1" applyBorder="1" applyAlignment="1">
      <alignment horizontal="center"/>
    </xf>
    <xf numFmtId="0" fontId="23" fillId="2" borderId="19" xfId="0" applyFont="1" applyFill="1" applyBorder="1" applyAlignment="1">
      <alignment horizontal="center"/>
    </xf>
    <xf numFmtId="0" fontId="29" fillId="29" borderId="18" xfId="0" applyFont="1" applyFill="1" applyBorder="1" applyAlignment="1">
      <alignment horizontal="right" vertical="center"/>
    </xf>
    <xf numFmtId="0" fontId="29" fillId="29" borderId="20" xfId="0" applyFont="1" applyFill="1" applyBorder="1" applyAlignment="1">
      <alignment horizontal="left" vertical="center"/>
    </xf>
    <xf numFmtId="0" fontId="34" fillId="2" borderId="0" xfId="0" applyFont="1" applyFill="1"/>
    <xf numFmtId="0" fontId="35" fillId="2" borderId="0" xfId="0" applyFont="1" applyFill="1"/>
    <xf numFmtId="0" fontId="36" fillId="2" borderId="0" xfId="0" applyFont="1" applyFill="1" applyProtection="1">
      <protection locked="0"/>
    </xf>
    <xf numFmtId="0" fontId="23" fillId="2" borderId="13" xfId="0" applyFont="1" applyFill="1" applyBorder="1" applyAlignment="1">
      <alignment horizontal="left" indent="1"/>
    </xf>
    <xf numFmtId="0" fontId="0" fillId="2" borderId="13" xfId="0" applyFont="1" applyFill="1" applyBorder="1" applyAlignment="1">
      <alignment horizontal="left" indent="1"/>
    </xf>
    <xf numFmtId="0" fontId="0" fillId="2" borderId="13" xfId="0" applyFill="1" applyBorder="1" applyAlignment="1">
      <alignment horizontal="left" indent="1"/>
    </xf>
    <xf numFmtId="0" fontId="29" fillId="29" borderId="16" xfId="0" applyFont="1" applyFill="1" applyBorder="1" applyAlignment="1">
      <alignment horizontal="right" vertical="center"/>
    </xf>
    <xf numFmtId="3" fontId="0" fillId="2" borderId="19" xfId="0" applyNumberFormat="1" applyFill="1" applyBorder="1" applyAlignment="1">
      <alignment horizontal="right"/>
    </xf>
    <xf numFmtId="0" fontId="0" fillId="2" borderId="19" xfId="0" applyFill="1" applyBorder="1" applyAlignment="1">
      <alignment horizontal="right"/>
    </xf>
    <xf numFmtId="10" fontId="23" fillId="2" borderId="0" xfId="0" applyNumberFormat="1" applyFont="1" applyFill="1" applyBorder="1" applyAlignment="1">
      <alignment horizontal="right"/>
    </xf>
    <xf numFmtId="0" fontId="0" fillId="2" borderId="21" xfId="0" applyFill="1" applyBorder="1" applyAlignment="1">
      <alignment horizontal="right"/>
    </xf>
    <xf numFmtId="175" fontId="0" fillId="2" borderId="0" xfId="0" applyNumberFormat="1" applyFill="1" applyAlignment="1">
      <alignment horizontal="right"/>
    </xf>
    <xf numFmtId="3" fontId="29" fillId="29" borderId="22" xfId="0" applyNumberFormat="1" applyFont="1" applyFill="1" applyBorder="1" applyAlignment="1">
      <alignment horizontal="right"/>
    </xf>
    <xf numFmtId="0" fontId="29" fillId="29" borderId="18" xfId="0" applyFont="1" applyFill="1" applyBorder="1" applyAlignment="1">
      <alignment horizontal="center"/>
    </xf>
    <xf numFmtId="3" fontId="29" fillId="29" borderId="22" xfId="0" applyNumberFormat="1" applyFont="1" applyFill="1" applyBorder="1" applyAlignment="1">
      <alignment horizontal="right" wrapText="1"/>
    </xf>
    <xf numFmtId="171" fontId="29" fillId="29" borderId="18" xfId="18" applyNumberFormat="1" applyFont="1" applyFill="1" applyBorder="1" applyAlignment="1">
      <alignment horizontal="center"/>
    </xf>
    <xf numFmtId="0" fontId="29" fillId="29" borderId="18" xfId="0" applyFont="1" applyFill="1" applyBorder="1" applyAlignment="1">
      <alignment horizontal="center" vertical="center"/>
    </xf>
    <xf numFmtId="0" fontId="0" fillId="30" borderId="0" xfId="0" applyFill="1"/>
    <xf numFmtId="0" fontId="19" fillId="30" borderId="19" xfId="0" applyFont="1" applyFill="1" applyBorder="1" applyAlignment="1">
      <alignment horizontal="left" wrapText="1"/>
    </xf>
    <xf numFmtId="0" fontId="19" fillId="30" borderId="18" xfId="0" applyFont="1" applyFill="1" applyBorder="1" applyAlignment="1">
      <alignment horizontal="left"/>
    </xf>
    <xf numFmtId="0" fontId="19" fillId="30" borderId="19" xfId="0" applyFont="1" applyFill="1" applyBorder="1" applyAlignment="1">
      <alignment horizontal="left"/>
    </xf>
    <xf numFmtId="0" fontId="2" fillId="30" borderId="22" xfId="0" applyFont="1" applyFill="1" applyBorder="1" applyAlignment="1">
      <alignment horizontal="left"/>
    </xf>
    <xf numFmtId="0" fontId="2" fillId="30" borderId="19" xfId="0" applyFont="1" applyFill="1" applyBorder="1" applyAlignment="1">
      <alignment horizontal="left"/>
    </xf>
    <xf numFmtId="0" fontId="19" fillId="30" borderId="22" xfId="0" applyFont="1" applyFill="1" applyBorder="1" applyAlignment="1">
      <alignment horizontal="left"/>
    </xf>
    <xf numFmtId="0" fontId="24" fillId="30" borderId="13" xfId="0" applyFont="1" applyFill="1" applyBorder="1" applyAlignment="1">
      <alignment horizontal="right" vertical="center"/>
    </xf>
    <xf numFmtId="0" fontId="24" fillId="30" borderId="0" xfId="0" applyFont="1" applyFill="1" applyBorder="1" applyAlignment="1">
      <alignment horizontal="right" vertical="center"/>
    </xf>
    <xf numFmtId="0" fontId="24" fillId="30" borderId="14" xfId="0" applyFont="1" applyFill="1" applyBorder="1" applyAlignment="1">
      <alignment horizontal="right"/>
    </xf>
    <xf numFmtId="0" fontId="24" fillId="30" borderId="0" xfId="0" applyFont="1" applyFill="1" applyBorder="1" applyAlignment="1">
      <alignment horizontal="right"/>
    </xf>
    <xf numFmtId="167" fontId="24" fillId="30" borderId="0" xfId="0" applyNumberFormat="1" applyFont="1" applyFill="1" applyBorder="1" applyAlignment="1">
      <alignment horizontal="right"/>
    </xf>
    <xf numFmtId="167" fontId="24" fillId="30" borderId="14" xfId="0" applyNumberFormat="1" applyFont="1" applyFill="1" applyBorder="1" applyAlignment="1">
      <alignment horizontal="right"/>
    </xf>
    <xf numFmtId="10" fontId="24" fillId="30" borderId="0" xfId="15" applyNumberFormat="1" applyFont="1" applyFill="1" applyBorder="1" applyAlignment="1">
      <alignment horizontal="right"/>
    </xf>
    <xf numFmtId="167" fontId="24" fillId="30" borderId="0" xfId="0" applyNumberFormat="1" applyFont="1" applyFill="1" applyBorder="1" applyAlignment="1">
      <alignment horizontal="right" vertical="center"/>
    </xf>
    <xf numFmtId="168" fontId="29" fillId="29" borderId="22" xfId="0" applyNumberFormat="1" applyFont="1" applyFill="1" applyBorder="1" applyAlignment="1">
      <alignment horizontal="right"/>
    </xf>
    <xf numFmtId="0" fontId="29" fillId="29" borderId="15" xfId="0" applyFont="1" applyFill="1" applyBorder="1" applyAlignment="1">
      <alignment horizontal="right" vertical="center"/>
    </xf>
    <xf numFmtId="0" fontId="0" fillId="30" borderId="0" xfId="0" applyFont="1" applyFill="1"/>
    <xf numFmtId="0" fontId="0" fillId="30" borderId="13" xfId="0" applyFill="1" applyBorder="1" applyAlignment="1">
      <alignment horizontal="left" indent="1"/>
    </xf>
    <xf numFmtId="0" fontId="0" fillId="2" borderId="23" xfId="0" applyFill="1" applyBorder="1"/>
    <xf numFmtId="3" fontId="24" fillId="30" borderId="0" xfId="0" applyNumberFormat="1" applyFont="1" applyFill="1" applyBorder="1" applyAlignment="1">
      <alignment horizontal="right"/>
    </xf>
    <xf numFmtId="0" fontId="24" fillId="30" borderId="0" xfId="0" applyFont="1" applyFill="1" applyBorder="1" applyAlignment="1">
      <alignment horizontal="center" wrapText="1"/>
    </xf>
    <xf numFmtId="3" fontId="23" fillId="2" borderId="14" xfId="0" applyNumberFormat="1" applyFont="1" applyFill="1" applyBorder="1" applyAlignment="1">
      <alignment horizontal="right"/>
    </xf>
    <xf numFmtId="3" fontId="23" fillId="2" borderId="24" xfId="0" applyNumberFormat="1" applyFont="1" applyFill="1" applyBorder="1" applyAlignment="1">
      <alignment horizontal="right"/>
    </xf>
    <xf numFmtId="0" fontId="0" fillId="30" borderId="25" xfId="0" applyFill="1" applyBorder="1"/>
    <xf numFmtId="0" fontId="23" fillId="30" borderId="26" xfId="0" applyFont="1" applyFill="1" applyBorder="1" applyAlignment="1">
      <alignment horizontal="left"/>
    </xf>
    <xf numFmtId="0" fontId="0" fillId="30" borderId="26" xfId="0" applyFill="1" applyBorder="1" applyAlignment="1">
      <alignment horizontal="right"/>
    </xf>
    <xf numFmtId="0" fontId="0" fillId="30" borderId="26" xfId="0" applyFill="1" applyBorder="1"/>
    <xf numFmtId="0" fontId="0" fillId="30" borderId="17" xfId="0" applyFill="1" applyBorder="1"/>
    <xf numFmtId="170" fontId="0" fillId="2" borderId="19" xfId="0" applyNumberFormat="1" applyFill="1" applyBorder="1" applyAlignment="1">
      <alignment horizontal="right"/>
    </xf>
    <xf numFmtId="170" fontId="0" fillId="2" borderId="0" xfId="0" applyNumberFormat="1" applyFill="1" applyBorder="1" applyAlignment="1">
      <alignment horizontal="right"/>
    </xf>
    <xf numFmtId="3" fontId="23" fillId="2" borderId="0" xfId="0" applyNumberFormat="1" applyFont="1" applyFill="1" applyBorder="1" applyAlignment="1">
      <alignment horizontal="right"/>
    </xf>
    <xf numFmtId="0" fontId="70" fillId="31" borderId="13" xfId="0" applyFont="1" applyFill="1" applyBorder="1" applyAlignment="1">
      <alignment horizontal="left" indent="1"/>
    </xf>
    <xf numFmtId="3" fontId="0" fillId="2" borderId="14" xfId="0" applyNumberFormat="1" applyFont="1" applyFill="1" applyBorder="1" applyAlignment="1">
      <alignment horizontal="right"/>
    </xf>
    <xf numFmtId="3" fontId="0" fillId="2" borderId="0" xfId="0" applyNumberFormat="1" applyFont="1" applyFill="1" applyBorder="1" applyAlignment="1">
      <alignment horizontal="right"/>
    </xf>
    <xf numFmtId="3" fontId="0" fillId="2" borderId="19" xfId="0" applyNumberFormat="1" applyFont="1" applyFill="1" applyBorder="1" applyAlignment="1">
      <alignment horizontal="right"/>
    </xf>
    <xf numFmtId="3" fontId="0" fillId="30" borderId="14" xfId="0" applyNumberFormat="1" applyFont="1" applyFill="1" applyBorder="1" applyAlignment="1">
      <alignment horizontal="right"/>
    </xf>
    <xf numFmtId="3" fontId="0" fillId="30" borderId="0" xfId="0" applyNumberFormat="1" applyFont="1" applyFill="1" applyBorder="1" applyAlignment="1">
      <alignment horizontal="right"/>
    </xf>
    <xf numFmtId="3" fontId="0" fillId="30" borderId="19" xfId="0" applyNumberFormat="1" applyFont="1" applyFill="1" applyBorder="1" applyAlignment="1">
      <alignment horizontal="right"/>
    </xf>
    <xf numFmtId="3" fontId="0" fillId="30" borderId="14" xfId="0" applyNumberFormat="1" applyFill="1" applyBorder="1" applyAlignment="1">
      <alignment horizontal="right"/>
    </xf>
    <xf numFmtId="3" fontId="0" fillId="30" borderId="0" xfId="0" applyNumberFormat="1" applyFill="1" applyBorder="1" applyAlignment="1">
      <alignment horizontal="right"/>
    </xf>
    <xf numFmtId="3" fontId="0" fillId="30" borderId="13" xfId="0" applyNumberFormat="1" applyFill="1" applyBorder="1" applyAlignment="1">
      <alignment horizontal="right"/>
    </xf>
    <xf numFmtId="0" fontId="25" fillId="30" borderId="13" xfId="0" applyFont="1" applyFill="1" applyBorder="1" applyAlignment="1">
      <alignment horizontal="left"/>
    </xf>
    <xf numFmtId="170" fontId="0" fillId="30" borderId="0" xfId="0" applyNumberFormat="1" applyFill="1" applyBorder="1"/>
    <xf numFmtId="0" fontId="0" fillId="2" borderId="24" xfId="0" applyFill="1" applyBorder="1"/>
    <xf numFmtId="0" fontId="0" fillId="2" borderId="21" xfId="0" applyFill="1" applyBorder="1"/>
    <xf numFmtId="0" fontId="25" fillId="30" borderId="0" xfId="0" applyFont="1" applyFill="1" applyBorder="1" applyAlignment="1">
      <alignment horizontal="left"/>
    </xf>
    <xf numFmtId="3" fontId="25" fillId="30" borderId="0" xfId="0" applyNumberFormat="1" applyFont="1" applyFill="1" applyBorder="1" applyAlignment="1">
      <alignment horizontal="right"/>
    </xf>
    <xf numFmtId="10" fontId="23" fillId="2" borderId="24" xfId="0" applyNumberFormat="1" applyFont="1" applyFill="1" applyBorder="1" applyAlignment="1">
      <alignment horizontal="right"/>
    </xf>
    <xf numFmtId="3" fontId="0" fillId="30" borderId="19" xfId="0" applyNumberFormat="1" applyFill="1" applyBorder="1" applyAlignment="1">
      <alignment horizontal="right"/>
    </xf>
    <xf numFmtId="10" fontId="23" fillId="30" borderId="13" xfId="0" applyNumberFormat="1" applyFont="1" applyFill="1" applyBorder="1" applyAlignment="1">
      <alignment horizontal="right"/>
    </xf>
    <xf numFmtId="10" fontId="23" fillId="30" borderId="0" xfId="0" applyNumberFormat="1" applyFont="1" applyFill="1" applyBorder="1" applyAlignment="1">
      <alignment horizontal="right"/>
    </xf>
    <xf numFmtId="10" fontId="23" fillId="30" borderId="14" xfId="0" applyNumberFormat="1" applyFont="1" applyFill="1" applyBorder="1" applyAlignment="1">
      <alignment horizontal="right"/>
    </xf>
    <xf numFmtId="3" fontId="0" fillId="2" borderId="15" xfId="0" applyNumberFormat="1" applyFill="1" applyBorder="1" applyAlignment="1">
      <alignment horizontal="right"/>
    </xf>
    <xf numFmtId="0" fontId="26" fillId="30" borderId="0" xfId="0" applyFont="1" applyFill="1"/>
    <xf numFmtId="175" fontId="0" fillId="2" borderId="0" xfId="0" applyNumberFormat="1" applyFill="1"/>
    <xf numFmtId="10" fontId="29" fillId="29" borderId="26" xfId="0" applyNumberFormat="1" applyFont="1" applyFill="1" applyBorder="1"/>
    <xf numFmtId="177" fontId="0" fillId="30" borderId="0" xfId="0" applyNumberFormat="1" applyFont="1" applyFill="1" applyBorder="1"/>
    <xf numFmtId="177" fontId="0" fillId="30" borderId="0" xfId="0" applyNumberFormat="1" applyFill="1" applyBorder="1" applyAlignment="1">
      <alignment horizontal="right"/>
    </xf>
    <xf numFmtId="0" fontId="0" fillId="30" borderId="0" xfId="0" applyFill="1" applyBorder="1" applyAlignment="1">
      <alignment horizontal="right"/>
    </xf>
    <xf numFmtId="177" fontId="0" fillId="30" borderId="14" xfId="0" applyNumberFormat="1" applyFill="1" applyBorder="1" applyAlignment="1">
      <alignment horizontal="right"/>
    </xf>
    <xf numFmtId="177" fontId="0" fillId="30" borderId="0" xfId="0" applyNumberFormat="1" applyFill="1" applyBorder="1"/>
    <xf numFmtId="9" fontId="0" fillId="2" borderId="13" xfId="0" applyNumberFormat="1" applyFill="1" applyBorder="1" applyAlignment="1">
      <alignment horizontal="right"/>
    </xf>
    <xf numFmtId="9" fontId="0" fillId="2" borderId="0" xfId="0" applyNumberFormat="1" applyFill="1" applyBorder="1" applyAlignment="1">
      <alignment horizontal="right"/>
    </xf>
    <xf numFmtId="9" fontId="0" fillId="2" borderId="14" xfId="0" applyNumberFormat="1" applyFill="1" applyBorder="1" applyAlignment="1">
      <alignment horizontal="right"/>
    </xf>
    <xf numFmtId="0" fontId="24" fillId="2" borderId="0" xfId="0" applyFont="1" applyFill="1" applyAlignment="1">
      <alignment horizontal="left" indent="1"/>
    </xf>
    <xf numFmtId="170" fontId="0" fillId="2" borderId="14" xfId="0" applyNumberFormat="1" applyFill="1" applyBorder="1" applyAlignment="1">
      <alignment horizontal="right"/>
    </xf>
    <xf numFmtId="177" fontId="0" fillId="30" borderId="19" xfId="0" applyNumberFormat="1" applyFont="1" applyFill="1" applyBorder="1"/>
    <xf numFmtId="0" fontId="0" fillId="30" borderId="19" xfId="0" applyFill="1" applyBorder="1" applyAlignment="1">
      <alignment horizontal="right"/>
    </xf>
    <xf numFmtId="0" fontId="0" fillId="30" borderId="13" xfId="0" applyFill="1" applyBorder="1"/>
    <xf numFmtId="0" fontId="0" fillId="30" borderId="0" xfId="0" applyFill="1" applyBorder="1"/>
    <xf numFmtId="10" fontId="24" fillId="30" borderId="14" xfId="15" applyNumberFormat="1" applyFont="1" applyFill="1" applyBorder="1" applyAlignment="1">
      <alignment horizontal="right"/>
    </xf>
    <xf numFmtId="168" fontId="24" fillId="30" borderId="0" xfId="0" applyNumberFormat="1" applyFont="1" applyFill="1" applyBorder="1" applyAlignment="1">
      <alignment horizontal="right" vertical="center"/>
    </xf>
    <xf numFmtId="0" fontId="19" fillId="30" borderId="27" xfId="0" applyFont="1" applyFill="1" applyBorder="1" applyAlignment="1">
      <alignment horizontal="left"/>
    </xf>
    <xf numFmtId="0" fontId="19" fillId="30" borderId="13" xfId="0" applyFont="1" applyFill="1" applyBorder="1" applyAlignment="1">
      <alignment horizontal="left"/>
    </xf>
    <xf numFmtId="0" fontId="19" fillId="30" borderId="23" xfId="0" applyFont="1" applyFill="1" applyBorder="1" applyAlignment="1">
      <alignment horizontal="left"/>
    </xf>
    <xf numFmtId="49" fontId="23" fillId="2" borderId="27" xfId="0" applyNumberFormat="1" applyFont="1" applyFill="1" applyBorder="1" applyAlignment="1">
      <alignment horizontal="center"/>
    </xf>
    <xf numFmtId="49" fontId="23" fillId="2" borderId="13" xfId="0" applyNumberFormat="1" applyFont="1" applyFill="1" applyBorder="1" applyAlignment="1">
      <alignment horizontal="center"/>
    </xf>
    <xf numFmtId="0" fontId="4" fillId="30" borderId="0" xfId="0" applyFont="1" applyFill="1"/>
    <xf numFmtId="0" fontId="30" fillId="30" borderId="13" xfId="0" applyFont="1" applyFill="1" applyBorder="1" applyAlignment="1">
      <alignment horizontal="left"/>
    </xf>
    <xf numFmtId="3" fontId="24" fillId="30" borderId="16" xfId="0" applyNumberFormat="1" applyFont="1" applyFill="1" applyBorder="1" applyAlignment="1">
      <alignment horizontal="right"/>
    </xf>
    <xf numFmtId="3" fontId="24" fillId="30" borderId="15" xfId="0" applyNumberFormat="1" applyFont="1" applyFill="1" applyBorder="1" applyAlignment="1">
      <alignment horizontal="right"/>
    </xf>
    <xf numFmtId="0" fontId="25" fillId="30" borderId="18" xfId="0" applyFont="1" applyFill="1" applyBorder="1" applyAlignment="1">
      <alignment horizontal="left" wrapText="1"/>
    </xf>
    <xf numFmtId="0" fontId="25" fillId="30" borderId="22" xfId="0" applyFont="1" applyFill="1" applyBorder="1" applyAlignment="1">
      <alignment horizontal="left"/>
    </xf>
    <xf numFmtId="3" fontId="0" fillId="2" borderId="16" xfId="0" applyNumberFormat="1" applyFill="1" applyBorder="1" applyAlignment="1">
      <alignment horizontal="right"/>
    </xf>
    <xf numFmtId="0" fontId="24" fillId="2" borderId="13" xfId="0" applyFont="1" applyFill="1" applyBorder="1" applyAlignment="1">
      <alignment horizontal="left"/>
    </xf>
    <xf numFmtId="0" fontId="19" fillId="2" borderId="13" xfId="0" applyFont="1" applyFill="1" applyBorder="1" applyAlignment="1">
      <alignment horizontal="left" wrapText="1"/>
    </xf>
    <xf numFmtId="172" fontId="24" fillId="30" borderId="0" xfId="0" applyNumberFormat="1" applyFont="1" applyFill="1" applyBorder="1" applyAlignment="1">
      <alignment horizontal="right"/>
    </xf>
    <xf numFmtId="0" fontId="25" fillId="30" borderId="18" xfId="0" applyFont="1" applyFill="1" applyBorder="1" applyAlignment="1">
      <alignment horizontal="left" vertical="center"/>
    </xf>
    <xf numFmtId="0" fontId="25" fillId="30" borderId="22" xfId="0" applyFont="1" applyFill="1" applyBorder="1" applyAlignment="1">
      <alignment horizontal="left" vertical="center"/>
    </xf>
    <xf numFmtId="0" fontId="30" fillId="29" borderId="18" xfId="0" applyFont="1" applyFill="1" applyBorder="1" applyAlignment="1">
      <alignment horizontal="left"/>
    </xf>
    <xf numFmtId="0" fontId="24" fillId="30" borderId="14" xfId="0" applyFont="1" applyFill="1" applyBorder="1" applyAlignment="1">
      <alignment horizontal="right" vertical="center"/>
    </xf>
    <xf numFmtId="0" fontId="25" fillId="30" borderId="19" xfId="0" applyFont="1" applyFill="1" applyBorder="1" applyAlignment="1">
      <alignment horizontal="left" vertical="center"/>
    </xf>
    <xf numFmtId="3" fontId="0" fillId="2" borderId="27" xfId="0" applyNumberFormat="1" applyFill="1" applyBorder="1" applyAlignment="1">
      <alignment horizontal="right"/>
    </xf>
    <xf numFmtId="0" fontId="0" fillId="30" borderId="19" xfId="0" applyFill="1" applyBorder="1" applyAlignment="1">
      <alignment horizontal="left" indent="1"/>
    </xf>
    <xf numFmtId="9" fontId="0" fillId="30" borderId="13" xfId="0" applyNumberFormat="1" applyFill="1" applyBorder="1" applyAlignment="1">
      <alignment horizontal="right"/>
    </xf>
    <xf numFmtId="9" fontId="0" fillId="30" borderId="0" xfId="0" applyNumberFormat="1" applyFill="1" applyBorder="1" applyAlignment="1">
      <alignment horizontal="right"/>
    </xf>
    <xf numFmtId="9" fontId="0" fillId="30" borderId="14" xfId="0" applyNumberFormat="1" applyFill="1" applyBorder="1" applyAlignment="1">
      <alignment horizontal="right"/>
    </xf>
    <xf numFmtId="170" fontId="0" fillId="30" borderId="19" xfId="0" applyNumberFormat="1" applyFill="1" applyBorder="1" applyAlignment="1">
      <alignment horizontal="right"/>
    </xf>
    <xf numFmtId="170" fontId="0" fillId="30" borderId="13" xfId="0" applyNumberFormat="1" applyFill="1" applyBorder="1" applyAlignment="1">
      <alignment horizontal="right"/>
    </xf>
    <xf numFmtId="170" fontId="0" fillId="30" borderId="14" xfId="0" applyNumberFormat="1" applyFill="1" applyBorder="1"/>
    <xf numFmtId="3" fontId="24" fillId="30" borderId="19" xfId="0" applyNumberFormat="1" applyFont="1" applyFill="1" applyBorder="1" applyAlignment="1">
      <alignment horizontal="right"/>
    </xf>
    <xf numFmtId="167" fontId="0" fillId="30" borderId="19" xfId="0" applyNumberFormat="1" applyFill="1" applyBorder="1"/>
    <xf numFmtId="167" fontId="0" fillId="30" borderId="13" xfId="0" applyNumberFormat="1" applyFill="1" applyBorder="1"/>
    <xf numFmtId="167" fontId="0" fillId="30" borderId="0" xfId="0" applyNumberFormat="1" applyFill="1" applyBorder="1"/>
    <xf numFmtId="167" fontId="0" fillId="30" borderId="0" xfId="0" applyNumberFormat="1" applyFont="1" applyFill="1" applyBorder="1"/>
    <xf numFmtId="167" fontId="0" fillId="30" borderId="14" xfId="0" applyNumberFormat="1" applyFont="1" applyFill="1" applyBorder="1"/>
    <xf numFmtId="0" fontId="70" fillId="32" borderId="19" xfId="0" applyFont="1" applyFill="1" applyBorder="1" applyAlignment="1">
      <alignment horizontal="left" indent="1"/>
    </xf>
    <xf numFmtId="3" fontId="0" fillId="30" borderId="13" xfId="0" applyNumberFormat="1" applyFont="1" applyFill="1" applyBorder="1" applyAlignment="1">
      <alignment horizontal="right"/>
    </xf>
    <xf numFmtId="9" fontId="0" fillId="30" borderId="19" xfId="0" applyNumberFormat="1" applyFont="1" applyFill="1" applyBorder="1" applyAlignment="1">
      <alignment horizontal="right"/>
    </xf>
    <xf numFmtId="9" fontId="0" fillId="30" borderId="13" xfId="0" applyNumberFormat="1" applyFont="1" applyFill="1" applyBorder="1" applyAlignment="1">
      <alignment horizontal="right"/>
    </xf>
    <xf numFmtId="9" fontId="0" fillId="30" borderId="0" xfId="0" applyNumberFormat="1" applyFont="1" applyFill="1" applyBorder="1" applyAlignment="1">
      <alignment horizontal="right"/>
    </xf>
    <xf numFmtId="9" fontId="0" fillId="30" borderId="14" xfId="0" applyNumberFormat="1" applyFont="1" applyFill="1" applyBorder="1" applyAlignment="1">
      <alignment horizontal="right"/>
    </xf>
    <xf numFmtId="0" fontId="23" fillId="30" borderId="13" xfId="0" applyFont="1" applyFill="1" applyBorder="1" applyAlignment="1">
      <alignment horizontal="left" indent="1"/>
    </xf>
    <xf numFmtId="0" fontId="0" fillId="30" borderId="13" xfId="0" applyFont="1" applyFill="1" applyBorder="1" applyAlignment="1">
      <alignment horizontal="right"/>
    </xf>
    <xf numFmtId="0" fontId="0" fillId="30" borderId="0" xfId="0" applyFont="1" applyFill="1" applyBorder="1"/>
    <xf numFmtId="0" fontId="0" fillId="30" borderId="14" xfId="0" applyFont="1" applyFill="1" applyBorder="1"/>
    <xf numFmtId="0" fontId="0" fillId="30" borderId="19" xfId="0" applyFont="1" applyFill="1" applyBorder="1"/>
    <xf numFmtId="3" fontId="24" fillId="30" borderId="13" xfId="0" applyNumberFormat="1" applyFont="1" applyFill="1" applyBorder="1" applyAlignment="1">
      <alignment horizontal="right"/>
    </xf>
    <xf numFmtId="3" fontId="24" fillId="30" borderId="14" xfId="0" applyNumberFormat="1" applyFont="1" applyFill="1" applyBorder="1" applyAlignment="1">
      <alignment horizontal="right"/>
    </xf>
    <xf numFmtId="9" fontId="0" fillId="30" borderId="19" xfId="0" applyNumberFormat="1" applyFill="1" applyBorder="1" applyAlignment="1">
      <alignment horizontal="right"/>
    </xf>
    <xf numFmtId="0" fontId="0" fillId="30" borderId="13" xfId="0" applyFill="1" applyBorder="1" applyAlignment="1">
      <alignment horizontal="right"/>
    </xf>
    <xf numFmtId="0" fontId="0" fillId="30" borderId="14" xfId="0" applyFill="1" applyBorder="1"/>
    <xf numFmtId="0" fontId="24" fillId="30" borderId="19" xfId="0" applyFont="1" applyFill="1" applyBorder="1"/>
    <xf numFmtId="9" fontId="0" fillId="30" borderId="0" xfId="0" applyNumberFormat="1" applyFill="1" applyBorder="1"/>
    <xf numFmtId="9" fontId="0" fillId="30" borderId="14" xfId="0" applyNumberFormat="1" applyFill="1" applyBorder="1"/>
    <xf numFmtId="3" fontId="0" fillId="30" borderId="0" xfId="0" applyNumberFormat="1" applyFill="1"/>
    <xf numFmtId="170" fontId="0" fillId="30" borderId="0" xfId="0" applyNumberFormat="1" applyFill="1" applyBorder="1" applyAlignment="1">
      <alignment horizontal="right"/>
    </xf>
    <xf numFmtId="0" fontId="0" fillId="30" borderId="19" xfId="0" applyFill="1" applyBorder="1"/>
    <xf numFmtId="0" fontId="0" fillId="30" borderId="13" xfId="0" applyFont="1" applyFill="1" applyBorder="1" applyAlignment="1">
      <alignment horizontal="left" indent="1"/>
    </xf>
    <xf numFmtId="0" fontId="24" fillId="30" borderId="13" xfId="0" applyFont="1" applyFill="1" applyBorder="1" applyAlignment="1">
      <alignment horizontal="left" indent="1"/>
    </xf>
    <xf numFmtId="0" fontId="24" fillId="32" borderId="19" xfId="0" applyFont="1" applyFill="1" applyBorder="1" applyAlignment="1">
      <alignment horizontal="left" indent="1"/>
    </xf>
    <xf numFmtId="3" fontId="23" fillId="30" borderId="13" xfId="0" applyNumberFormat="1" applyFont="1" applyFill="1" applyBorder="1" applyAlignment="1">
      <alignment horizontal="right"/>
    </xf>
    <xf numFmtId="3" fontId="23" fillId="30" borderId="0" xfId="0" applyNumberFormat="1" applyFont="1" applyFill="1" applyBorder="1" applyAlignment="1">
      <alignment horizontal="right"/>
    </xf>
    <xf numFmtId="3" fontId="23" fillId="30" borderId="14" xfId="0" applyNumberFormat="1" applyFont="1" applyFill="1" applyBorder="1" applyAlignment="1">
      <alignment horizontal="right"/>
    </xf>
    <xf numFmtId="10" fontId="23" fillId="30" borderId="19" xfId="0" applyNumberFormat="1" applyFont="1" applyFill="1" applyBorder="1" applyAlignment="1">
      <alignment horizontal="right"/>
    </xf>
    <xf numFmtId="3" fontId="71" fillId="30" borderId="19" xfId="0" applyNumberFormat="1" applyFont="1" applyFill="1" applyBorder="1" applyAlignment="1">
      <alignment horizontal="right"/>
    </xf>
    <xf numFmtId="3" fontId="71" fillId="30" borderId="13" xfId="0" applyNumberFormat="1" applyFont="1" applyFill="1" applyBorder="1" applyAlignment="1">
      <alignment horizontal="right"/>
    </xf>
    <xf numFmtId="3" fontId="71" fillId="30" borderId="0" xfId="0" applyNumberFormat="1" applyFont="1" applyFill="1" applyBorder="1" applyAlignment="1">
      <alignment horizontal="right"/>
    </xf>
    <xf numFmtId="3" fontId="71" fillId="30" borderId="14" xfId="0" applyNumberFormat="1" applyFont="1" applyFill="1" applyBorder="1" applyAlignment="1">
      <alignment horizontal="right"/>
    </xf>
    <xf numFmtId="167" fontId="0" fillId="2" borderId="0" xfId="0" applyNumberFormat="1" applyFill="1" applyBorder="1" applyAlignment="1">
      <alignment horizontal="right"/>
    </xf>
    <xf numFmtId="177" fontId="0" fillId="2" borderId="0" xfId="0" applyNumberFormat="1" applyFill="1" applyAlignment="1">
      <alignment horizontal="right"/>
    </xf>
    <xf numFmtId="0" fontId="23" fillId="30" borderId="0" xfId="0" applyFont="1" applyFill="1"/>
    <xf numFmtId="172" fontId="73" fillId="2" borderId="0" xfId="18" applyNumberFormat="1" applyFont="1" applyFill="1"/>
    <xf numFmtId="0" fontId="24" fillId="30" borderId="0" xfId="0" applyFont="1" applyFill="1" applyBorder="1" applyAlignment="1">
      <alignment horizontal="left" vertical="center"/>
    </xf>
    <xf numFmtId="0" fontId="76" fillId="30" borderId="0" xfId="0" applyFont="1" applyFill="1" applyBorder="1" applyAlignment="1">
      <alignment horizontal="left"/>
    </xf>
    <xf numFmtId="9" fontId="0" fillId="30" borderId="0" xfId="0" applyNumberFormat="1" applyFill="1"/>
    <xf numFmtId="184" fontId="0" fillId="2" borderId="13" xfId="15" applyNumberFormat="1" applyFont="1" applyFill="1" applyBorder="1" applyAlignment="1">
      <alignment horizontal="right"/>
    </xf>
    <xf numFmtId="184" fontId="0" fillId="2" borderId="0" xfId="15" applyNumberFormat="1" applyFont="1" applyFill="1" applyBorder="1" applyAlignment="1">
      <alignment horizontal="right"/>
    </xf>
    <xf numFmtId="184" fontId="0" fillId="2" borderId="14" xfId="15" applyNumberFormat="1" applyFont="1" applyFill="1" applyBorder="1" applyAlignment="1">
      <alignment horizontal="right"/>
    </xf>
    <xf numFmtId="168" fontId="0" fillId="2" borderId="14" xfId="0" applyNumberFormat="1" applyFill="1" applyBorder="1" applyAlignment="1">
      <alignment horizontal="right"/>
    </xf>
    <xf numFmtId="168" fontId="0" fillId="2" borderId="19" xfId="0" applyNumberFormat="1" applyFill="1" applyBorder="1" applyAlignment="1">
      <alignment horizontal="right"/>
    </xf>
    <xf numFmtId="168" fontId="0" fillId="2" borderId="0" xfId="0" applyNumberFormat="1" applyFill="1" applyBorder="1" applyAlignment="1">
      <alignment horizontal="right"/>
    </xf>
    <xf numFmtId="0" fontId="77" fillId="32" borderId="19" xfId="0" applyFont="1" applyFill="1" applyBorder="1" applyAlignment="1">
      <alignment horizontal="left" indent="1"/>
    </xf>
    <xf numFmtId="3" fontId="23" fillId="2" borderId="13" xfId="0" applyNumberFormat="1" applyFont="1" applyFill="1" applyBorder="1" applyAlignment="1">
      <alignment horizontal="right"/>
    </xf>
    <xf numFmtId="10" fontId="23" fillId="30" borderId="19" xfId="15" applyNumberFormat="1" applyFont="1" applyFill="1" applyBorder="1" applyAlignment="1">
      <alignment horizontal="right"/>
    </xf>
    <xf numFmtId="10" fontId="23" fillId="30" borderId="13" xfId="15" applyNumberFormat="1" applyFont="1" applyFill="1" applyBorder="1" applyAlignment="1">
      <alignment horizontal="right"/>
    </xf>
    <xf numFmtId="10" fontId="23" fillId="30" borderId="0" xfId="15" applyNumberFormat="1" applyFont="1" applyFill="1" applyBorder="1" applyAlignment="1">
      <alignment horizontal="right"/>
    </xf>
    <xf numFmtId="10" fontId="23" fillId="30" borderId="14" xfId="15" applyNumberFormat="1" applyFont="1" applyFill="1" applyBorder="1" applyAlignment="1">
      <alignment horizontal="right"/>
    </xf>
    <xf numFmtId="0" fontId="70" fillId="32" borderId="13" xfId="0" applyFont="1" applyFill="1" applyBorder="1" applyAlignment="1">
      <alignment horizontal="left" indent="1"/>
    </xf>
    <xf numFmtId="10" fontId="0" fillId="2" borderId="0" xfId="15" applyNumberFormat="1" applyFont="1" applyFill="1"/>
    <xf numFmtId="184" fontId="0" fillId="2" borderId="0" xfId="15" applyNumberFormat="1" applyFont="1" applyFill="1"/>
    <xf numFmtId="172" fontId="78" fillId="2" borderId="0" xfId="23" applyNumberFormat="1" applyFont="1" applyFill="1"/>
    <xf numFmtId="10" fontId="29" fillId="29" borderId="20" xfId="0" applyNumberFormat="1" applyFont="1" applyFill="1" applyBorder="1"/>
    <xf numFmtId="0" fontId="30" fillId="29" borderId="20" xfId="0" applyFont="1" applyFill="1" applyBorder="1"/>
    <xf numFmtId="0" fontId="23" fillId="30" borderId="26" xfId="0" applyFont="1" applyFill="1" applyBorder="1"/>
    <xf numFmtId="0" fontId="23" fillId="30" borderId="17" xfId="0" applyFont="1" applyFill="1" applyBorder="1"/>
    <xf numFmtId="0" fontId="2" fillId="30" borderId="18" xfId="0" applyFont="1" applyFill="1" applyBorder="1"/>
    <xf numFmtId="0" fontId="0" fillId="30" borderId="16" xfId="0" applyFill="1" applyBorder="1"/>
    <xf numFmtId="0" fontId="0" fillId="30" borderId="15" xfId="0" applyFill="1" applyBorder="1"/>
    <xf numFmtId="0" fontId="28" fillId="30" borderId="18" xfId="0" applyFont="1" applyFill="1" applyBorder="1"/>
    <xf numFmtId="0" fontId="29" fillId="29" borderId="18" xfId="0" applyFont="1" applyFill="1" applyBorder="1" applyAlignment="1">
      <alignment horizontal="left" vertical="top" wrapText="1"/>
    </xf>
    <xf numFmtId="0" fontId="29" fillId="29" borderId="18" xfId="0" applyFont="1" applyFill="1" applyBorder="1" applyAlignment="1">
      <alignment horizontal="right" vertical="top" wrapText="1"/>
    </xf>
    <xf numFmtId="0" fontId="23" fillId="30" borderId="18" xfId="0" applyFont="1" applyFill="1" applyBorder="1" applyAlignment="1">
      <alignment vertical="top" wrapText="1"/>
    </xf>
    <xf numFmtId="0" fontId="23" fillId="30" borderId="16" xfId="0" applyFont="1" applyFill="1" applyBorder="1" applyAlignment="1">
      <alignment vertical="top" wrapText="1"/>
    </xf>
    <xf numFmtId="0" fontId="23" fillId="30" borderId="15" xfId="0" applyFont="1" applyFill="1" applyBorder="1" applyAlignment="1">
      <alignment vertical="top" wrapText="1"/>
    </xf>
    <xf numFmtId="0" fontId="23" fillId="30" borderId="19" xfId="0" applyFont="1" applyFill="1" applyBorder="1" applyAlignment="1">
      <alignment vertical="top" wrapText="1"/>
    </xf>
    <xf numFmtId="0" fontId="23" fillId="30" borderId="0" xfId="0" applyFont="1" applyFill="1" applyBorder="1" applyAlignment="1">
      <alignment vertical="top" wrapText="1"/>
    </xf>
    <xf numFmtId="0" fontId="23" fillId="30" borderId="14" xfId="0" applyFont="1" applyFill="1" applyBorder="1" applyAlignment="1">
      <alignment vertical="top" wrapText="1"/>
    </xf>
    <xf numFmtId="0" fontId="0" fillId="2" borderId="26" xfId="0" applyFill="1" applyBorder="1" applyAlignment="1">
      <alignment horizontal="right"/>
    </xf>
    <xf numFmtId="0" fontId="0" fillId="2" borderId="26" xfId="0" applyFill="1" applyBorder="1"/>
    <xf numFmtId="0" fontId="0" fillId="2" borderId="17" xfId="0" applyFill="1" applyBorder="1"/>
    <xf numFmtId="0" fontId="23" fillId="30" borderId="19" xfId="0" applyFont="1" applyFill="1" applyBorder="1" applyAlignment="1">
      <alignment horizontal="left" indent="1"/>
    </xf>
    <xf numFmtId="0" fontId="0" fillId="30" borderId="0" xfId="0" applyFill="1" applyAlignment="1">
      <alignment horizontal="right"/>
    </xf>
    <xf numFmtId="10" fontId="23" fillId="2" borderId="26" xfId="0" applyNumberFormat="1" applyFont="1" applyFill="1" applyBorder="1" applyAlignment="1">
      <alignment horizontal="right"/>
    </xf>
    <xf numFmtId="10" fontId="23" fillId="2" borderId="17" xfId="0" applyNumberFormat="1" applyFont="1" applyFill="1" applyBorder="1" applyAlignment="1">
      <alignment horizontal="right"/>
    </xf>
    <xf numFmtId="3" fontId="23" fillId="30" borderId="19" xfId="0" applyNumberFormat="1" applyFont="1" applyFill="1" applyBorder="1" applyAlignment="1">
      <alignment horizontal="right"/>
    </xf>
    <xf numFmtId="0" fontId="69" fillId="30" borderId="0" xfId="0" applyFont="1" applyFill="1"/>
    <xf numFmtId="0" fontId="75" fillId="30" borderId="0" xfId="0" applyFont="1" applyFill="1"/>
    <xf numFmtId="0" fontId="24" fillId="30" borderId="0" xfId="0" applyFont="1" applyFill="1" applyBorder="1"/>
    <xf numFmtId="0" fontId="76" fillId="30" borderId="0" xfId="0" applyFont="1" applyFill="1" applyBorder="1"/>
    <xf numFmtId="181" fontId="0" fillId="30" borderId="0" xfId="0" applyNumberFormat="1" applyFont="1" applyFill="1"/>
    <xf numFmtId="4" fontId="0" fillId="30" borderId="0" xfId="0" applyNumberFormat="1" applyFont="1" applyFill="1"/>
    <xf numFmtId="182" fontId="24" fillId="30" borderId="0" xfId="0" applyNumberFormat="1" applyFont="1" applyFill="1" applyBorder="1"/>
    <xf numFmtId="0" fontId="16" fillId="30" borderId="0" xfId="0" applyFont="1" applyFill="1"/>
    <xf numFmtId="0" fontId="24" fillId="30" borderId="0" xfId="0" applyFont="1" applyFill="1" applyAlignment="1">
      <alignment horizontal="right"/>
    </xf>
    <xf numFmtId="0" fontId="33" fillId="30" borderId="0" xfId="0" applyFont="1" applyFill="1" applyAlignment="1">
      <alignment horizontal="right"/>
    </xf>
    <xf numFmtId="0" fontId="24" fillId="30" borderId="0" xfId="0" applyFont="1" applyFill="1"/>
    <xf numFmtId="0" fontId="26" fillId="30" borderId="0" xfId="0" applyFont="1" applyFill="1" applyBorder="1"/>
    <xf numFmtId="0" fontId="0" fillId="30" borderId="0" xfId="0" applyFill="1" applyAlignment="1">
      <alignment wrapText="1"/>
    </xf>
    <xf numFmtId="0" fontId="0" fillId="30" borderId="0" xfId="0" applyFont="1" applyFill="1" applyAlignment="1">
      <alignment horizontal="left"/>
    </xf>
    <xf numFmtId="171" fontId="0" fillId="30" borderId="0" xfId="18" applyNumberFormat="1" applyFont="1" applyFill="1"/>
    <xf numFmtId="9" fontId="0" fillId="30" borderId="0" xfId="15" applyFont="1" applyFill="1"/>
    <xf numFmtId="0" fontId="25" fillId="30" borderId="0" xfId="0" applyFont="1" applyFill="1"/>
    <xf numFmtId="176" fontId="0" fillId="30" borderId="0" xfId="0" applyNumberFormat="1" applyFill="1"/>
    <xf numFmtId="180" fontId="0" fillId="30" borderId="0" xfId="0" applyNumberFormat="1" applyFill="1"/>
    <xf numFmtId="10" fontId="0" fillId="30" borderId="13" xfId="0" applyNumberFormat="1" applyFill="1" applyBorder="1"/>
    <xf numFmtId="10" fontId="0" fillId="30" borderId="14" xfId="0" applyNumberFormat="1" applyFill="1" applyBorder="1"/>
    <xf numFmtId="10" fontId="0" fillId="30" borderId="23" xfId="0" applyNumberFormat="1" applyFill="1" applyBorder="1"/>
    <xf numFmtId="10" fontId="0" fillId="30" borderId="24" xfId="0" applyNumberFormat="1" applyFill="1" applyBorder="1"/>
    <xf numFmtId="0" fontId="79" fillId="29" borderId="25" xfId="0" applyFont="1" applyFill="1" applyBorder="1"/>
    <xf numFmtId="0" fontId="79" fillId="29" borderId="26" xfId="0" applyFont="1" applyFill="1" applyBorder="1"/>
    <xf numFmtId="0" fontId="79" fillId="29" borderId="17" xfId="0" applyFont="1" applyFill="1" applyBorder="1"/>
    <xf numFmtId="3" fontId="72" fillId="0" borderId="0" xfId="0" applyNumberFormat="1" applyFont="1"/>
    <xf numFmtId="10" fontId="24" fillId="30" borderId="0" xfId="15" applyNumberFormat="1" applyFont="1" applyFill="1" applyBorder="1" applyAlignment="1">
      <alignment horizontal="right" vertical="center"/>
    </xf>
    <xf numFmtId="10" fontId="24" fillId="2" borderId="0" xfId="15" applyNumberFormat="1" applyFont="1" applyFill="1"/>
    <xf numFmtId="177" fontId="0" fillId="2" borderId="0" xfId="0" applyNumberFormat="1" applyFill="1"/>
    <xf numFmtId="0" fontId="30" fillId="29" borderId="20" xfId="0" applyFont="1" applyFill="1" applyBorder="1" applyAlignment="1">
      <alignment horizontal="center"/>
    </xf>
    <xf numFmtId="0" fontId="29" fillId="29" borderId="20" xfId="0" applyFont="1" applyFill="1" applyBorder="1" applyAlignment="1">
      <alignment horizontal="center" vertical="center"/>
    </xf>
    <xf numFmtId="49" fontId="29" fillId="29" borderId="20" xfId="0" applyNumberFormat="1" applyFont="1" applyFill="1" applyBorder="1" applyAlignment="1">
      <alignment horizontal="center"/>
    </xf>
    <xf numFmtId="3" fontId="29" fillId="29" borderId="20" xfId="0" applyNumberFormat="1" applyFont="1" applyFill="1" applyBorder="1" applyAlignment="1">
      <alignment horizontal="right"/>
    </xf>
    <xf numFmtId="0" fontId="29" fillId="29" borderId="20" xfId="0" applyFont="1" applyFill="1" applyBorder="1" applyAlignment="1">
      <alignment horizontal="center"/>
    </xf>
    <xf numFmtId="3" fontId="29" fillId="29" borderId="20" xfId="0" applyNumberFormat="1" applyFont="1" applyFill="1" applyBorder="1" applyAlignment="1">
      <alignment horizontal="right" wrapText="1"/>
    </xf>
    <xf numFmtId="0" fontId="29" fillId="29" borderId="20" xfId="0" applyFont="1" applyFill="1" applyBorder="1" applyAlignment="1">
      <alignment horizontal="right" vertical="center"/>
    </xf>
    <xf numFmtId="171" fontId="29" fillId="29" borderId="20" xfId="18" applyNumberFormat="1" applyFont="1" applyFill="1" applyBorder="1" applyAlignment="1">
      <alignment horizontal="center" vertical="center"/>
    </xf>
    <xf numFmtId="0" fontId="30" fillId="29" borderId="20" xfId="0" applyNumberFormat="1" applyFont="1" applyFill="1" applyBorder="1" applyAlignment="1">
      <alignment horizontal="left" indent="1"/>
    </xf>
    <xf numFmtId="0" fontId="29" fillId="29" borderId="25" xfId="0" applyFont="1" applyFill="1" applyBorder="1" applyAlignment="1">
      <alignment horizontal="right" vertical="center"/>
    </xf>
    <xf numFmtId="49" fontId="29" fillId="29" borderId="20" xfId="0" applyNumberFormat="1" applyFont="1" applyFill="1" applyBorder="1" applyAlignment="1">
      <alignment horizontal="left" indent="1"/>
    </xf>
    <xf numFmtId="3" fontId="29" fillId="29" borderId="20" xfId="0" applyNumberFormat="1" applyFont="1" applyFill="1" applyBorder="1"/>
    <xf numFmtId="3" fontId="29" fillId="29" borderId="25" xfId="0" applyNumberFormat="1" applyFont="1" applyFill="1" applyBorder="1"/>
    <xf numFmtId="3" fontId="29" fillId="29" borderId="25" xfId="0" applyNumberFormat="1" applyFont="1" applyFill="1" applyBorder="1" applyAlignment="1">
      <alignment horizontal="right"/>
    </xf>
    <xf numFmtId="0" fontId="30" fillId="29" borderId="20" xfId="0" applyFont="1" applyFill="1" applyBorder="1" applyAlignment="1">
      <alignment horizontal="left" indent="1"/>
    </xf>
    <xf numFmtId="0" fontId="29" fillId="29" borderId="17" xfId="0" applyFont="1" applyFill="1" applyBorder="1" applyAlignment="1">
      <alignment horizontal="right" vertical="center"/>
    </xf>
    <xf numFmtId="167" fontId="29" fillId="29" borderId="20" xfId="0" applyNumberFormat="1" applyFont="1" applyFill="1" applyBorder="1" applyAlignment="1">
      <alignment horizontal="right" wrapText="1"/>
    </xf>
    <xf numFmtId="168" fontId="29" fillId="29" borderId="20" xfId="0" applyNumberFormat="1" applyFont="1" applyFill="1" applyBorder="1" applyAlignment="1">
      <alignment horizontal="right"/>
    </xf>
    <xf numFmtId="0" fontId="19" fillId="30" borderId="25" xfId="0" applyFont="1" applyFill="1" applyBorder="1" applyAlignment="1">
      <alignment horizontal="left"/>
    </xf>
    <xf numFmtId="0" fontId="29" fillId="29" borderId="20" xfId="0" applyFont="1" applyFill="1" applyBorder="1" applyAlignment="1" applyProtection="1">
      <alignment horizontal="left"/>
      <protection locked="0"/>
    </xf>
    <xf numFmtId="0" fontId="0" fillId="30" borderId="25" xfId="0" applyFill="1" applyBorder="1"/>
    <xf numFmtId="0" fontId="23" fillId="2" borderId="25" xfId="0" applyFont="1" applyFill="1" applyBorder="1" applyAlignment="1">
      <alignment horizontal="left" indent="1"/>
    </xf>
    <xf numFmtId="0" fontId="29" fillId="29" borderId="20" xfId="0" applyFont="1" applyFill="1" applyBorder="1" applyAlignment="1">
      <alignment horizontal="left" vertical="center"/>
    </xf>
    <xf numFmtId="0" fontId="0" fillId="0" borderId="13" xfId="0" applyFont="1" applyFill="1" applyBorder="1" applyAlignment="1">
      <alignment horizontal="left" indent="1"/>
    </xf>
    <xf numFmtId="167" fontId="0" fillId="2" borderId="14" xfId="0" applyNumberFormat="1" applyFill="1" applyBorder="1" applyAlignment="1">
      <alignment horizontal="right"/>
    </xf>
    <xf numFmtId="0" fontId="24" fillId="2" borderId="13" xfId="0" applyFont="1" applyFill="1" applyBorder="1" applyAlignment="1">
      <alignment horizontal="left" indent="1"/>
    </xf>
    <xf numFmtId="0" fontId="71" fillId="30" borderId="13" xfId="0" applyFont="1" applyFill="1" applyBorder="1" applyAlignment="1">
      <alignment horizontal="left" indent="1"/>
    </xf>
    <xf numFmtId="0" fontId="0" fillId="2" borderId="25" xfId="0" applyFill="1" applyBorder="1"/>
    <xf numFmtId="10" fontId="29" fillId="29" borderId="17" xfId="0" applyNumberFormat="1" applyFont="1" applyFill="1" applyBorder="1"/>
    <xf numFmtId="0" fontId="25" fillId="30" borderId="0" xfId="0" applyFont="1" applyFill="1" applyBorder="1" applyAlignment="1">
      <alignment horizontal="left" vertical="center"/>
    </xf>
    <xf numFmtId="165" fontId="24" fillId="30" borderId="13" xfId="0" applyNumberFormat="1" applyFont="1" applyFill="1" applyBorder="1" applyAlignment="1">
      <alignment horizontal="right"/>
    </xf>
    <xf numFmtId="165" fontId="24" fillId="30" borderId="0" xfId="0" applyNumberFormat="1" applyFont="1" applyFill="1" applyBorder="1" applyAlignment="1">
      <alignment horizontal="right"/>
    </xf>
    <xf numFmtId="165" fontId="24" fillId="30" borderId="14" xfId="0" applyNumberFormat="1" applyFont="1" applyFill="1" applyBorder="1" applyAlignment="1">
      <alignment horizontal="right"/>
    </xf>
    <xf numFmtId="0" fontId="25" fillId="30" borderId="27" xfId="0" applyFont="1" applyFill="1" applyBorder="1" applyAlignment="1">
      <alignment horizontal="left" vertical="center"/>
    </xf>
    <xf numFmtId="0" fontId="25" fillId="30" borderId="13" xfId="0" applyFont="1" applyFill="1" applyBorder="1" applyAlignment="1">
      <alignment horizontal="left" vertical="center"/>
    </xf>
    <xf numFmtId="0" fontId="25" fillId="30" borderId="23" xfId="0" applyFont="1" applyFill="1" applyBorder="1" applyAlignment="1">
      <alignment horizontal="left" vertical="center"/>
    </xf>
    <xf numFmtId="0" fontId="25" fillId="30" borderId="14" xfId="0" applyFont="1" applyFill="1" applyBorder="1" applyAlignment="1">
      <alignment horizontal="left" vertical="center"/>
    </xf>
    <xf numFmtId="0" fontId="29" fillId="29" borderId="20" xfId="0" applyFont="1" applyFill="1" applyBorder="1" applyAlignment="1">
      <alignment horizontal="right" vertical="center"/>
    </xf>
    <xf numFmtId="170" fontId="24" fillId="30" borderId="0" xfId="0" applyNumberFormat="1" applyFont="1" applyFill="1" applyBorder="1"/>
    <xf numFmtId="10" fontId="24" fillId="30" borderId="0" xfId="0" applyNumberFormat="1" applyFont="1" applyFill="1" applyBorder="1" applyAlignment="1">
      <alignment horizontal="right" vertical="center"/>
    </xf>
    <xf numFmtId="10" fontId="0" fillId="2" borderId="0" xfId="0" applyNumberFormat="1" applyFill="1"/>
    <xf numFmtId="10" fontId="0" fillId="30" borderId="0" xfId="0" applyNumberFormat="1" applyFill="1"/>
    <xf numFmtId="0" fontId="0" fillId="0" borderId="0" xfId="0" applyAlignment="1">
      <alignment vertical="center"/>
    </xf>
    <xf numFmtId="0" fontId="0" fillId="30" borderId="0" xfId="0" applyFont="1" applyFill="1" applyBorder="1" applyAlignment="1">
      <alignment horizontal="justify" vertical="center"/>
    </xf>
    <xf numFmtId="1" fontId="0" fillId="30" borderId="0" xfId="0" applyNumberFormat="1" applyFont="1" applyFill="1" applyBorder="1"/>
    <xf numFmtId="3" fontId="0" fillId="33" borderId="0" xfId="0" applyNumberFormat="1" applyFill="1" applyBorder="1"/>
    <xf numFmtId="3" fontId="0" fillId="34" borderId="0" xfId="0" applyNumberFormat="1" applyFill="1" applyBorder="1"/>
    <xf numFmtId="3" fontId="0" fillId="34" borderId="27" xfId="0" applyNumberFormat="1" applyFill="1" applyBorder="1"/>
    <xf numFmtId="3" fontId="0" fillId="34" borderId="16" xfId="0" applyNumberFormat="1" applyFill="1" applyBorder="1"/>
    <xf numFmtId="3" fontId="0" fillId="34" borderId="15" xfId="0" applyNumberFormat="1" applyFill="1" applyBorder="1"/>
    <xf numFmtId="3" fontId="0" fillId="34" borderId="13" xfId="0" applyNumberFormat="1" applyFill="1" applyBorder="1"/>
    <xf numFmtId="3" fontId="0" fillId="34" borderId="14" xfId="0" applyNumberFormat="1" applyFill="1" applyBorder="1"/>
    <xf numFmtId="3" fontId="0" fillId="34" borderId="23" xfId="0" applyNumberFormat="1" applyFill="1" applyBorder="1"/>
    <xf numFmtId="3" fontId="0" fillId="34" borderId="21" xfId="0" applyNumberFormat="1" applyFill="1" applyBorder="1"/>
    <xf numFmtId="3" fontId="0" fillId="34" borderId="24" xfId="0" applyNumberFormat="1" applyFill="1" applyBorder="1"/>
    <xf numFmtId="49" fontId="2" fillId="33" borderId="0" xfId="0" applyNumberFormat="1" applyFont="1" applyFill="1"/>
    <xf numFmtId="49" fontId="0" fillId="33" borderId="0" xfId="0" applyNumberFormat="1" applyFill="1"/>
    <xf numFmtId="49" fontId="0" fillId="33" borderId="0" xfId="0" applyNumberFormat="1" applyFill="1" applyAlignment="1">
      <alignment horizontal="right"/>
    </xf>
    <xf numFmtId="3" fontId="0" fillId="33" borderId="27" xfId="0" applyNumberFormat="1" applyFill="1" applyBorder="1"/>
    <xf numFmtId="3" fontId="0" fillId="33" borderId="16" xfId="0" applyNumberFormat="1" applyFill="1" applyBorder="1"/>
    <xf numFmtId="3" fontId="0" fillId="33" borderId="15" xfId="0" applyNumberFormat="1" applyFill="1" applyBorder="1"/>
    <xf numFmtId="3" fontId="0" fillId="33" borderId="13" xfId="0" applyNumberFormat="1" applyFill="1" applyBorder="1"/>
    <xf numFmtId="3" fontId="0" fillId="33" borderId="14" xfId="0" applyNumberFormat="1" applyFill="1" applyBorder="1"/>
    <xf numFmtId="3" fontId="0" fillId="33" borderId="23" xfId="0" applyNumberFormat="1" applyFill="1" applyBorder="1"/>
    <xf numFmtId="3" fontId="0" fillId="33" borderId="21" xfId="0" applyNumberFormat="1" applyFill="1" applyBorder="1"/>
    <xf numFmtId="3" fontId="5" fillId="33" borderId="0" xfId="0" applyNumberFormat="1" applyFont="1" applyFill="1" applyBorder="1"/>
    <xf numFmtId="3" fontId="5" fillId="33" borderId="13" xfId="0" applyNumberFormat="1" applyFont="1" applyFill="1" applyBorder="1"/>
    <xf numFmtId="3" fontId="24" fillId="33" borderId="0" xfId="0" applyNumberFormat="1" applyFont="1" applyFill="1" applyBorder="1"/>
    <xf numFmtId="3" fontId="24" fillId="33" borderId="13" xfId="0" applyNumberFormat="1" applyFont="1" applyFill="1" applyBorder="1"/>
    <xf numFmtId="185" fontId="5" fillId="33" borderId="0" xfId="0" applyNumberFormat="1" applyFont="1" applyFill="1" applyBorder="1" applyAlignment="1">
      <alignment horizontal="right"/>
    </xf>
    <xf numFmtId="185" fontId="0" fillId="34" borderId="27" xfId="0" applyNumberFormat="1" applyFill="1" applyBorder="1"/>
    <xf numFmtId="185" fontId="0" fillId="34" borderId="16" xfId="0" applyNumberFormat="1" applyFill="1" applyBorder="1"/>
    <xf numFmtId="185" fontId="0" fillId="34" borderId="15" xfId="0" applyNumberFormat="1" applyFill="1" applyBorder="1"/>
    <xf numFmtId="185" fontId="0" fillId="34" borderId="13" xfId="0" applyNumberFormat="1" applyFill="1" applyBorder="1"/>
    <xf numFmtId="185" fontId="0" fillId="34" borderId="0" xfId="0" applyNumberFormat="1" applyFill="1" applyBorder="1"/>
    <xf numFmtId="185" fontId="0" fillId="34" borderId="14" xfId="0" applyNumberFormat="1" applyFill="1" applyBorder="1"/>
    <xf numFmtId="185" fontId="0" fillId="34" borderId="23" xfId="0" applyNumberFormat="1" applyFill="1" applyBorder="1"/>
    <xf numFmtId="185" fontId="5" fillId="33" borderId="27" xfId="0" applyNumberFormat="1" applyFont="1" applyFill="1" applyBorder="1" applyAlignment="1">
      <alignment horizontal="right"/>
    </xf>
    <xf numFmtId="185" fontId="5" fillId="33" borderId="16" xfId="0" applyNumberFormat="1" applyFont="1" applyFill="1" applyBorder="1" applyAlignment="1">
      <alignment horizontal="right"/>
    </xf>
    <xf numFmtId="185" fontId="5" fillId="33" borderId="13" xfId="0" applyNumberFormat="1" applyFont="1" applyFill="1" applyBorder="1" applyAlignment="1">
      <alignment horizontal="right"/>
    </xf>
    <xf numFmtId="185" fontId="5" fillId="33" borderId="23" xfId="0" applyNumberFormat="1" applyFont="1" applyFill="1" applyBorder="1" applyAlignment="1">
      <alignment horizontal="right"/>
    </xf>
    <xf numFmtId="185" fontId="5" fillId="33" borderId="21" xfId="0" applyNumberFormat="1" applyFont="1" applyFill="1" applyBorder="1" applyAlignment="1">
      <alignment horizontal="right"/>
    </xf>
    <xf numFmtId="185" fontId="5" fillId="34" borderId="27" xfId="0" applyNumberFormat="1" applyFont="1" applyFill="1" applyBorder="1" applyAlignment="1">
      <alignment horizontal="right"/>
    </xf>
    <xf numFmtId="185" fontId="5" fillId="34" borderId="16" xfId="0" applyNumberFormat="1" applyFont="1" applyFill="1" applyBorder="1" applyAlignment="1">
      <alignment horizontal="right"/>
    </xf>
    <xf numFmtId="185" fontId="5" fillId="34" borderId="15" xfId="0" applyNumberFormat="1" applyFont="1" applyFill="1" applyBorder="1" applyAlignment="1">
      <alignment horizontal="right"/>
    </xf>
    <xf numFmtId="185" fontId="5" fillId="34" borderId="13" xfId="0" applyNumberFormat="1" applyFont="1" applyFill="1" applyBorder="1" applyAlignment="1">
      <alignment horizontal="right"/>
    </xf>
    <xf numFmtId="185" fontId="5" fillId="34" borderId="0" xfId="0" applyNumberFormat="1" applyFont="1" applyFill="1" applyBorder="1" applyAlignment="1">
      <alignment horizontal="right"/>
    </xf>
    <xf numFmtId="185" fontId="5" fillId="34" borderId="14" xfId="0" applyNumberFormat="1" applyFont="1" applyFill="1" applyBorder="1" applyAlignment="1">
      <alignment horizontal="right"/>
    </xf>
    <xf numFmtId="185" fontId="0" fillId="34" borderId="21" xfId="0" applyNumberFormat="1" applyFill="1" applyBorder="1"/>
    <xf numFmtId="185" fontId="0" fillId="34" borderId="24" xfId="0" applyNumberFormat="1" applyFill="1" applyBorder="1"/>
    <xf numFmtId="168" fontId="0" fillId="33" borderId="0" xfId="0" applyNumberFormat="1" applyFill="1" applyBorder="1"/>
    <xf numFmtId="168" fontId="0" fillId="34" borderId="27" xfId="0" applyNumberFormat="1" applyFill="1" applyBorder="1"/>
    <xf numFmtId="168" fontId="0" fillId="34" borderId="16" xfId="0" applyNumberFormat="1" applyFill="1" applyBorder="1"/>
    <xf numFmtId="168" fontId="0" fillId="34" borderId="15" xfId="0" applyNumberFormat="1" applyFill="1" applyBorder="1"/>
    <xf numFmtId="168" fontId="0" fillId="34" borderId="13" xfId="0" applyNumberFormat="1" applyFill="1" applyBorder="1"/>
    <xf numFmtId="168" fontId="0" fillId="34" borderId="0" xfId="0" applyNumberFormat="1" applyFill="1" applyBorder="1"/>
    <xf numFmtId="168" fontId="0" fillId="34" borderId="14" xfId="0" applyNumberFormat="1" applyFill="1" applyBorder="1"/>
    <xf numFmtId="168" fontId="24" fillId="34" borderId="13" xfId="0" applyNumberFormat="1" applyFont="1" applyFill="1" applyBorder="1"/>
    <xf numFmtId="168" fontId="24" fillId="34" borderId="0" xfId="0" applyNumberFormat="1" applyFont="1" applyFill="1" applyBorder="1"/>
    <xf numFmtId="168" fontId="24" fillId="34" borderId="14" xfId="0" applyNumberFormat="1" applyFont="1" applyFill="1" applyBorder="1"/>
    <xf numFmtId="168" fontId="0" fillId="34" borderId="23" xfId="0" applyNumberFormat="1" applyFill="1" applyBorder="1"/>
    <xf numFmtId="168" fontId="0" fillId="34" borderId="21" xfId="0" applyNumberFormat="1" applyFill="1" applyBorder="1"/>
    <xf numFmtId="168" fontId="0" fillId="34" borderId="24" xfId="0" applyNumberFormat="1" applyFill="1" applyBorder="1"/>
    <xf numFmtId="170" fontId="24" fillId="33" borderId="25" xfId="18" applyNumberFormat="1" applyFont="1" applyFill="1" applyBorder="1" applyAlignment="1">
      <alignment horizontal="right" vertical="center"/>
    </xf>
    <xf numFmtId="170" fontId="24" fillId="33" borderId="26" xfId="18" applyNumberFormat="1" applyFont="1" applyFill="1" applyBorder="1" applyAlignment="1">
      <alignment horizontal="right" vertical="center"/>
    </xf>
    <xf numFmtId="170" fontId="24" fillId="33" borderId="17" xfId="18" applyNumberFormat="1" applyFont="1" applyFill="1" applyBorder="1" applyAlignment="1">
      <alignment horizontal="right"/>
    </xf>
    <xf numFmtId="10" fontId="24" fillId="33" borderId="13" xfId="15" applyNumberFormat="1" applyFont="1" applyFill="1" applyBorder="1" applyAlignment="1">
      <alignment horizontal="right"/>
    </xf>
    <xf numFmtId="170" fontId="24" fillId="33" borderId="0" xfId="18" applyNumberFormat="1" applyFont="1" applyFill="1" applyBorder="1" applyAlignment="1">
      <alignment horizontal="right" vertical="center"/>
    </xf>
    <xf numFmtId="170" fontId="24" fillId="33" borderId="14" xfId="18" applyNumberFormat="1" applyFont="1" applyFill="1" applyBorder="1" applyAlignment="1">
      <alignment horizontal="right" vertical="center"/>
    </xf>
    <xf numFmtId="3" fontId="0" fillId="33" borderId="13" xfId="20" applyNumberFormat="1" applyFont="1" applyFill="1" applyBorder="1" applyAlignment="1">
      <alignment horizontal="right"/>
    </xf>
    <xf numFmtId="3" fontId="0" fillId="33" borderId="0" xfId="20" applyNumberFormat="1" applyFont="1" applyFill="1" applyBorder="1" applyAlignment="1">
      <alignment horizontal="right"/>
    </xf>
    <xf numFmtId="3" fontId="0" fillId="33" borderId="14" xfId="20" applyNumberFormat="1" applyFont="1" applyFill="1" applyBorder="1" applyAlignment="1">
      <alignment horizontal="right"/>
    </xf>
    <xf numFmtId="170" fontId="24" fillId="33" borderId="13" xfId="0" applyNumberFormat="1" applyFont="1" applyFill="1" applyBorder="1" applyAlignment="1">
      <alignment horizontal="right" indent="1"/>
    </xf>
    <xf numFmtId="10" fontId="24" fillId="33" borderId="13" xfId="18" applyNumberFormat="1" applyFont="1" applyFill="1" applyBorder="1" applyAlignment="1">
      <alignment horizontal="right" vertical="center"/>
    </xf>
    <xf numFmtId="10" fontId="24" fillId="33" borderId="0" xfId="18" applyNumberFormat="1" applyFont="1" applyFill="1" applyBorder="1" applyAlignment="1">
      <alignment horizontal="right" vertical="center"/>
    </xf>
    <xf numFmtId="10" fontId="24" fillId="33" borderId="14" xfId="18" applyNumberFormat="1" applyFont="1" applyFill="1" applyBorder="1" applyAlignment="1">
      <alignment horizontal="right" vertical="center"/>
    </xf>
    <xf numFmtId="3" fontId="0" fillId="33" borderId="23" xfId="20" applyNumberFormat="1" applyFont="1" applyFill="1" applyBorder="1" applyAlignment="1">
      <alignment horizontal="right"/>
    </xf>
    <xf numFmtId="3" fontId="0" fillId="33" borderId="21" xfId="20" applyNumberFormat="1" applyFont="1" applyFill="1" applyBorder="1" applyAlignment="1">
      <alignment horizontal="right"/>
    </xf>
    <xf numFmtId="3" fontId="0" fillId="33" borderId="24" xfId="20" applyNumberFormat="1" applyFont="1" applyFill="1" applyBorder="1" applyAlignment="1">
      <alignment horizontal="right"/>
    </xf>
    <xf numFmtId="3" fontId="0" fillId="33" borderId="27" xfId="20" applyNumberFormat="1" applyFont="1" applyFill="1" applyBorder="1" applyAlignment="1">
      <alignment horizontal="right"/>
    </xf>
    <xf numFmtId="3" fontId="0" fillId="33" borderId="16" xfId="20" applyNumberFormat="1" applyFont="1" applyFill="1" applyBorder="1" applyAlignment="1">
      <alignment horizontal="right"/>
    </xf>
    <xf numFmtId="3" fontId="0" fillId="33" borderId="15" xfId="20" applyNumberFormat="1" applyFont="1" applyFill="1" applyBorder="1" applyAlignment="1">
      <alignment horizontal="right"/>
    </xf>
    <xf numFmtId="170" fontId="24" fillId="33" borderId="13" xfId="18" applyNumberFormat="1" applyFont="1" applyFill="1" applyBorder="1" applyAlignment="1">
      <alignment horizontal="right" vertical="center"/>
    </xf>
    <xf numFmtId="170" fontId="24" fillId="33" borderId="23" xfId="18" applyNumberFormat="1" applyFont="1" applyFill="1" applyBorder="1" applyAlignment="1">
      <alignment horizontal="right" vertical="center"/>
    </xf>
    <xf numFmtId="170" fontId="24" fillId="33" borderId="21" xfId="18" applyNumberFormat="1" applyFont="1" applyFill="1" applyBorder="1" applyAlignment="1">
      <alignment horizontal="right" vertical="center"/>
    </xf>
    <xf numFmtId="170" fontId="24" fillId="33" borderId="24" xfId="18" applyNumberFormat="1" applyFont="1" applyFill="1" applyBorder="1" applyAlignment="1">
      <alignment horizontal="right" vertical="center"/>
    </xf>
    <xf numFmtId="167" fontId="24" fillId="33" borderId="27" xfId="0" applyNumberFormat="1" applyFont="1" applyFill="1" applyBorder="1" applyAlignment="1">
      <alignment horizontal="right"/>
    </xf>
    <xf numFmtId="170" fontId="24" fillId="33" borderId="16" xfId="0" applyNumberFormat="1" applyFont="1" applyFill="1" applyBorder="1" applyAlignment="1">
      <alignment horizontal="right"/>
    </xf>
    <xf numFmtId="3" fontId="24" fillId="33" borderId="13" xfId="0" applyNumberFormat="1" applyFont="1" applyFill="1" applyBorder="1" applyAlignment="1">
      <alignment horizontal="right"/>
    </xf>
    <xf numFmtId="3" fontId="24" fillId="33" borderId="0" xfId="0" applyNumberFormat="1" applyFont="1" applyFill="1" applyBorder="1" applyAlignment="1">
      <alignment horizontal="right"/>
    </xf>
    <xf numFmtId="168" fontId="24" fillId="33" borderId="13" xfId="0" applyNumberFormat="1" applyFont="1" applyFill="1" applyBorder="1" applyAlignment="1">
      <alignment horizontal="right" vertical="center"/>
    </xf>
    <xf numFmtId="168" fontId="24" fillId="33" borderId="0" xfId="0" applyNumberFormat="1" applyFont="1" applyFill="1" applyBorder="1" applyAlignment="1">
      <alignment horizontal="right" vertical="center"/>
    </xf>
    <xf numFmtId="168" fontId="24" fillId="33" borderId="23" xfId="0" applyNumberFormat="1" applyFont="1" applyFill="1" applyBorder="1" applyAlignment="1">
      <alignment horizontal="right" vertical="center"/>
    </xf>
    <xf numFmtId="3" fontId="24" fillId="33" borderId="15" xfId="0" applyNumberFormat="1" applyFont="1" applyFill="1" applyBorder="1"/>
    <xf numFmtId="3" fontId="24" fillId="33" borderId="23" xfId="0" applyNumberFormat="1" applyFont="1" applyFill="1" applyBorder="1" applyAlignment="1">
      <alignment horizontal="right"/>
    </xf>
    <xf numFmtId="3" fontId="24" fillId="33" borderId="21" xfId="0" applyNumberFormat="1" applyFont="1" applyFill="1" applyBorder="1" applyAlignment="1">
      <alignment horizontal="right"/>
    </xf>
    <xf numFmtId="3" fontId="24" fillId="33" borderId="24" xfId="0" applyNumberFormat="1" applyFont="1" applyFill="1" applyBorder="1" applyAlignment="1">
      <alignment horizontal="right"/>
    </xf>
    <xf numFmtId="170" fontId="24" fillId="34" borderId="26" xfId="18" applyNumberFormat="1" applyFont="1" applyFill="1" applyBorder="1" applyAlignment="1">
      <alignment horizontal="right"/>
    </xf>
    <xf numFmtId="170" fontId="24" fillId="34" borderId="17" xfId="18" applyNumberFormat="1" applyFont="1" applyFill="1" applyBorder="1" applyAlignment="1">
      <alignment horizontal="right"/>
    </xf>
    <xf numFmtId="3" fontId="0" fillId="34" borderId="16" xfId="20" applyNumberFormat="1" applyFont="1" applyFill="1" applyBorder="1" applyAlignment="1">
      <alignment horizontal="right"/>
    </xf>
    <xf numFmtId="3" fontId="0" fillId="34" borderId="15" xfId="20" applyNumberFormat="1" applyFont="1" applyFill="1" applyBorder="1" applyAlignment="1">
      <alignment horizontal="right"/>
    </xf>
    <xf numFmtId="170" fontId="24" fillId="34" borderId="0" xfId="18" applyNumberFormat="1" applyFont="1" applyFill="1" applyBorder="1" applyAlignment="1">
      <alignment horizontal="right" vertical="center"/>
    </xf>
    <xf numFmtId="170" fontId="24" fillId="34" borderId="14" xfId="18" applyNumberFormat="1" applyFont="1" applyFill="1" applyBorder="1" applyAlignment="1">
      <alignment horizontal="right" vertical="center"/>
    </xf>
    <xf numFmtId="3" fontId="0" fillId="34" borderId="0" xfId="20" applyNumberFormat="1" applyFont="1" applyFill="1" applyBorder="1" applyAlignment="1">
      <alignment horizontal="right"/>
    </xf>
    <xf numFmtId="3" fontId="0" fillId="34" borderId="14" xfId="20" applyNumberFormat="1" applyFont="1" applyFill="1" applyBorder="1" applyAlignment="1">
      <alignment horizontal="right"/>
    </xf>
    <xf numFmtId="10" fontId="0" fillId="34" borderId="0" xfId="0" applyNumberFormat="1" applyFont="1" applyFill="1" applyBorder="1" applyAlignment="1">
      <alignment horizontal="right" vertical="center" wrapText="1"/>
    </xf>
    <xf numFmtId="10" fontId="0" fillId="34" borderId="14" xfId="0" applyNumberFormat="1" applyFont="1" applyFill="1" applyBorder="1" applyAlignment="1">
      <alignment horizontal="right" vertical="center" wrapText="1"/>
    </xf>
    <xf numFmtId="3" fontId="0" fillId="34" borderId="21" xfId="20" applyNumberFormat="1" applyFont="1" applyFill="1" applyBorder="1" applyAlignment="1">
      <alignment horizontal="right"/>
    </xf>
    <xf numFmtId="3" fontId="0" fillId="34" borderId="24" xfId="20" applyNumberFormat="1" applyFont="1" applyFill="1" applyBorder="1" applyAlignment="1">
      <alignment horizontal="right"/>
    </xf>
    <xf numFmtId="170" fontId="38" fillId="34" borderId="21" xfId="15" applyNumberFormat="1" applyFont="1" applyFill="1" applyBorder="1" applyAlignment="1">
      <alignment horizontal="right"/>
    </xf>
    <xf numFmtId="170" fontId="38" fillId="34" borderId="24" xfId="15" applyNumberFormat="1" applyFont="1" applyFill="1" applyBorder="1" applyAlignment="1">
      <alignment horizontal="right"/>
    </xf>
    <xf numFmtId="170" fontId="24" fillId="34" borderId="27" xfId="0" applyNumberFormat="1" applyFont="1" applyFill="1" applyBorder="1" applyAlignment="1">
      <alignment horizontal="right"/>
    </xf>
    <xf numFmtId="170" fontId="24" fillId="34" borderId="16" xfId="0" applyNumberFormat="1" applyFont="1" applyFill="1" applyBorder="1" applyAlignment="1">
      <alignment horizontal="right"/>
    </xf>
    <xf numFmtId="170" fontId="24" fillId="34" borderId="15" xfId="0" applyNumberFormat="1" applyFont="1" applyFill="1" applyBorder="1" applyAlignment="1">
      <alignment horizontal="right"/>
    </xf>
    <xf numFmtId="3" fontId="0" fillId="34" borderId="13" xfId="20" applyNumberFormat="1" applyFont="1" applyFill="1" applyBorder="1" applyAlignment="1">
      <alignment horizontal="right"/>
    </xf>
    <xf numFmtId="3" fontId="24" fillId="34" borderId="13" xfId="0" applyNumberFormat="1" applyFont="1" applyFill="1" applyBorder="1" applyAlignment="1">
      <alignment horizontal="right"/>
    </xf>
    <xf numFmtId="3" fontId="24" fillId="34" borderId="0" xfId="0" applyNumberFormat="1" applyFont="1" applyFill="1" applyBorder="1" applyAlignment="1">
      <alignment horizontal="right"/>
    </xf>
    <xf numFmtId="3" fontId="24" fillId="34" borderId="14" xfId="0" applyNumberFormat="1" applyFont="1" applyFill="1" applyBorder="1" applyAlignment="1">
      <alignment horizontal="right"/>
    </xf>
    <xf numFmtId="168" fontId="24" fillId="34" borderId="13" xfId="0" applyNumberFormat="1" applyFont="1" applyFill="1" applyBorder="1" applyAlignment="1">
      <alignment horizontal="right" vertical="center"/>
    </xf>
    <xf numFmtId="168" fontId="24" fillId="34" borderId="0" xfId="0" applyNumberFormat="1" applyFont="1" applyFill="1" applyBorder="1" applyAlignment="1">
      <alignment horizontal="right" vertical="center"/>
    </xf>
    <xf numFmtId="168" fontId="24" fillId="34" borderId="14" xfId="0" applyNumberFormat="1" applyFont="1" applyFill="1" applyBorder="1" applyAlignment="1">
      <alignment horizontal="right" vertical="center"/>
    </xf>
    <xf numFmtId="170" fontId="24" fillId="34" borderId="23" xfId="18" applyNumberFormat="1" applyFont="1" applyFill="1" applyBorder="1" applyAlignment="1">
      <alignment horizontal="right" vertical="center"/>
    </xf>
    <xf numFmtId="170" fontId="24" fillId="34" borderId="21" xfId="18" applyNumberFormat="1" applyFont="1" applyFill="1" applyBorder="1" applyAlignment="1">
      <alignment horizontal="right" vertical="center"/>
    </xf>
    <xf numFmtId="170" fontId="24" fillId="34" borderId="24" xfId="18" applyNumberFormat="1" applyFont="1" applyFill="1" applyBorder="1" applyAlignment="1">
      <alignment horizontal="right" vertical="center"/>
    </xf>
    <xf numFmtId="3" fontId="0" fillId="34" borderId="16" xfId="0" applyNumberFormat="1" applyFill="1" applyBorder="1" applyAlignment="1">
      <alignment horizontal="right"/>
    </xf>
    <xf numFmtId="3" fontId="0" fillId="34" borderId="15" xfId="0" applyNumberFormat="1" applyFill="1" applyBorder="1" applyAlignment="1">
      <alignment horizontal="right"/>
    </xf>
    <xf numFmtId="3" fontId="24" fillId="34" borderId="21" xfId="0" applyNumberFormat="1" applyFont="1" applyFill="1" applyBorder="1" applyAlignment="1">
      <alignment horizontal="right"/>
    </xf>
    <xf numFmtId="3" fontId="24" fillId="34" borderId="24" xfId="0" applyNumberFormat="1" applyFont="1" applyFill="1" applyBorder="1" applyAlignment="1">
      <alignment horizontal="right"/>
    </xf>
    <xf numFmtId="172" fontId="24" fillId="34" borderId="0" xfId="18" applyNumberFormat="1" applyFont="1" applyFill="1" applyBorder="1" applyAlignment="1">
      <alignment horizontal="right"/>
    </xf>
    <xf numFmtId="173" fontId="24" fillId="34" borderId="0" xfId="0" applyNumberFormat="1" applyFont="1" applyFill="1" applyBorder="1" applyAlignment="1">
      <alignment horizontal="right"/>
    </xf>
    <xf numFmtId="173" fontId="24" fillId="34" borderId="14" xfId="0" applyNumberFormat="1" applyFont="1" applyFill="1" applyBorder="1" applyAlignment="1">
      <alignment horizontal="right"/>
    </xf>
    <xf numFmtId="165" fontId="24" fillId="34" borderId="21" xfId="0" applyNumberFormat="1" applyFont="1" applyFill="1" applyBorder="1" applyAlignment="1">
      <alignment horizontal="right"/>
    </xf>
    <xf numFmtId="165" fontId="24" fillId="34" borderId="24" xfId="0" applyNumberFormat="1" applyFont="1" applyFill="1" applyBorder="1" applyAlignment="1">
      <alignment horizontal="right"/>
    </xf>
    <xf numFmtId="165" fontId="24" fillId="34" borderId="16" xfId="0" applyNumberFormat="1" applyFont="1" applyFill="1" applyBorder="1"/>
    <xf numFmtId="165" fontId="24" fillId="34" borderId="15" xfId="0" applyNumberFormat="1" applyFont="1" applyFill="1" applyBorder="1"/>
    <xf numFmtId="170" fontId="24" fillId="34" borderId="21" xfId="0" applyNumberFormat="1" applyFont="1" applyFill="1" applyBorder="1"/>
    <xf numFmtId="170" fontId="24" fillId="34" borderId="24" xfId="0" applyNumberFormat="1" applyFont="1" applyFill="1" applyBorder="1"/>
    <xf numFmtId="165" fontId="24" fillId="33" borderId="13" xfId="0" applyNumberFormat="1" applyFont="1" applyFill="1" applyBorder="1" applyAlignment="1">
      <alignment horizontal="right"/>
    </xf>
    <xf numFmtId="165" fontId="24" fillId="33" borderId="0" xfId="0" applyNumberFormat="1" applyFont="1" applyFill="1" applyBorder="1" applyAlignment="1">
      <alignment horizontal="right"/>
    </xf>
    <xf numFmtId="165" fontId="24" fillId="33" borderId="14" xfId="0" applyNumberFormat="1" applyFont="1" applyFill="1" applyBorder="1" applyAlignment="1">
      <alignment horizontal="right"/>
    </xf>
    <xf numFmtId="165" fontId="24" fillId="33" borderId="23" xfId="0" applyNumberFormat="1" applyFont="1" applyFill="1" applyBorder="1" applyAlignment="1">
      <alignment horizontal="right"/>
    </xf>
    <xf numFmtId="165" fontId="24" fillId="33" borderId="21" xfId="0" applyNumberFormat="1" applyFont="1" applyFill="1" applyBorder="1" applyAlignment="1">
      <alignment horizontal="right"/>
    </xf>
    <xf numFmtId="165" fontId="24" fillId="33" borderId="24" xfId="0" applyNumberFormat="1" applyFont="1" applyFill="1" applyBorder="1" applyAlignment="1">
      <alignment horizontal="right"/>
    </xf>
    <xf numFmtId="165" fontId="24" fillId="33" borderId="27" xfId="0" applyNumberFormat="1" applyFont="1" applyFill="1" applyBorder="1"/>
    <xf numFmtId="165" fontId="24" fillId="33" borderId="16" xfId="0" applyNumberFormat="1" applyFont="1" applyFill="1" applyBorder="1"/>
    <xf numFmtId="165" fontId="24" fillId="33" borderId="15" xfId="0" applyNumberFormat="1" applyFont="1" applyFill="1" applyBorder="1"/>
    <xf numFmtId="170" fontId="24" fillId="33" borderId="23" xfId="0" applyNumberFormat="1" applyFont="1" applyFill="1" applyBorder="1"/>
    <xf numFmtId="170" fontId="24" fillId="33" borderId="21" xfId="0" applyNumberFormat="1" applyFont="1" applyFill="1" applyBorder="1"/>
    <xf numFmtId="170" fontId="24" fillId="33" borderId="24" xfId="0" applyNumberFormat="1" applyFont="1" applyFill="1" applyBorder="1"/>
    <xf numFmtId="170" fontId="24" fillId="33" borderId="27" xfId="0" applyNumberFormat="1" applyFont="1" applyFill="1" applyBorder="1"/>
    <xf numFmtId="170" fontId="24" fillId="33" borderId="16" xfId="0" applyNumberFormat="1" applyFont="1" applyFill="1" applyBorder="1"/>
    <xf numFmtId="170" fontId="24" fillId="33" borderId="13" xfId="0" applyNumberFormat="1" applyFont="1" applyFill="1" applyBorder="1"/>
    <xf numFmtId="170" fontId="24" fillId="33" borderId="0" xfId="0" applyNumberFormat="1" applyFont="1" applyFill="1" applyBorder="1"/>
    <xf numFmtId="170" fontId="24" fillId="34" borderId="27" xfId="0" applyNumberFormat="1" applyFont="1" applyFill="1" applyBorder="1"/>
    <xf numFmtId="170" fontId="24" fillId="34" borderId="16" xfId="0" applyNumberFormat="1" applyFont="1" applyFill="1" applyBorder="1"/>
    <xf numFmtId="170" fontId="24" fillId="34" borderId="15" xfId="0" applyNumberFormat="1" applyFont="1" applyFill="1" applyBorder="1"/>
    <xf numFmtId="170" fontId="24" fillId="34" borderId="13" xfId="0" applyNumberFormat="1" applyFont="1" applyFill="1" applyBorder="1"/>
    <xf numFmtId="170" fontId="24" fillId="34" borderId="0" xfId="0" applyNumberFormat="1" applyFont="1" applyFill="1" applyBorder="1"/>
    <xf numFmtId="170" fontId="24" fillId="34" borderId="14" xfId="0" applyNumberFormat="1" applyFont="1" applyFill="1" applyBorder="1"/>
    <xf numFmtId="170" fontId="24" fillId="34" borderId="23" xfId="0" applyNumberFormat="1" applyFont="1" applyFill="1" applyBorder="1"/>
    <xf numFmtId="165" fontId="24" fillId="34" borderId="0" xfId="0" applyNumberFormat="1" applyFont="1" applyFill="1" applyBorder="1" applyAlignment="1">
      <alignment horizontal="right"/>
    </xf>
    <xf numFmtId="165" fontId="24" fillId="34" borderId="14" xfId="0" applyNumberFormat="1" applyFont="1" applyFill="1" applyBorder="1" applyAlignment="1">
      <alignment horizontal="right"/>
    </xf>
    <xf numFmtId="165" fontId="24" fillId="34" borderId="13" xfId="0" applyNumberFormat="1" applyFont="1" applyFill="1" applyBorder="1" applyAlignment="1">
      <alignment horizontal="right"/>
    </xf>
    <xf numFmtId="0" fontId="25" fillId="35" borderId="19" xfId="0" applyFont="1" applyFill="1" applyBorder="1" applyAlignment="1">
      <alignment horizontal="left" indent="1"/>
    </xf>
    <xf numFmtId="3" fontId="23" fillId="35" borderId="19" xfId="0" applyNumberFormat="1" applyFont="1" applyFill="1" applyBorder="1" applyAlignment="1">
      <alignment horizontal="right"/>
    </xf>
    <xf numFmtId="3" fontId="23" fillId="35" borderId="13" xfId="0" applyNumberFormat="1" applyFont="1" applyFill="1" applyBorder="1" applyAlignment="1">
      <alignment horizontal="right"/>
    </xf>
    <xf numFmtId="3" fontId="23" fillId="35" borderId="0" xfId="0" applyNumberFormat="1" applyFont="1" applyFill="1" applyBorder="1" applyAlignment="1">
      <alignment horizontal="right"/>
    </xf>
    <xf numFmtId="3" fontId="23" fillId="35" borderId="14" xfId="0" applyNumberFormat="1" applyFont="1" applyFill="1" applyBorder="1" applyAlignment="1">
      <alignment horizontal="right"/>
    </xf>
    <xf numFmtId="0" fontId="23" fillId="35" borderId="13" xfId="0" applyFont="1" applyFill="1" applyBorder="1" applyAlignment="1">
      <alignment horizontal="left" indent="1"/>
    </xf>
    <xf numFmtId="10" fontId="23" fillId="35" borderId="19" xfId="0" applyNumberFormat="1" applyFont="1" applyFill="1" applyBorder="1" applyAlignment="1">
      <alignment horizontal="right"/>
    </xf>
    <xf numFmtId="10" fontId="23" fillId="35" borderId="0" xfId="0" applyNumberFormat="1" applyFont="1" applyFill="1" applyBorder="1" applyAlignment="1">
      <alignment horizontal="right"/>
    </xf>
    <xf numFmtId="10" fontId="23" fillId="35" borderId="14" xfId="0" applyNumberFormat="1" applyFont="1" applyFill="1" applyBorder="1" applyAlignment="1">
      <alignment horizontal="right"/>
    </xf>
    <xf numFmtId="0" fontId="23" fillId="35" borderId="23" xfId="0" applyFont="1" applyFill="1" applyBorder="1" applyAlignment="1">
      <alignment horizontal="left" indent="1"/>
    </xf>
    <xf numFmtId="10" fontId="23" fillId="35" borderId="22" xfId="0" applyNumberFormat="1" applyFont="1" applyFill="1" applyBorder="1" applyAlignment="1">
      <alignment horizontal="right"/>
    </xf>
    <xf numFmtId="10" fontId="23" fillId="35" borderId="21" xfId="0" applyNumberFormat="1" applyFont="1" applyFill="1" applyBorder="1" applyAlignment="1">
      <alignment horizontal="right"/>
    </xf>
    <xf numFmtId="10" fontId="23" fillId="35" borderId="24" xfId="0" applyNumberFormat="1" applyFont="1" applyFill="1" applyBorder="1" applyAlignment="1">
      <alignment horizontal="right"/>
    </xf>
    <xf numFmtId="0" fontId="23" fillId="35" borderId="19" xfId="0" applyFont="1" applyFill="1" applyBorder="1" applyAlignment="1">
      <alignment horizontal="left" indent="1"/>
    </xf>
    <xf numFmtId="0" fontId="23" fillId="35" borderId="22" xfId="0" applyFont="1" applyFill="1" applyBorder="1" applyAlignment="1">
      <alignment horizontal="left" indent="1"/>
    </xf>
    <xf numFmtId="10" fontId="23" fillId="35" borderId="13" xfId="0" applyNumberFormat="1" applyFont="1" applyFill="1" applyBorder="1" applyAlignment="1">
      <alignment horizontal="right"/>
    </xf>
    <xf numFmtId="10" fontId="23" fillId="35" borderId="23" xfId="0" applyNumberFormat="1" applyFont="1" applyFill="1" applyBorder="1" applyAlignment="1">
      <alignment horizontal="right"/>
    </xf>
    <xf numFmtId="10" fontId="25" fillId="35" borderId="23" xfId="0" applyNumberFormat="1" applyFont="1" applyFill="1" applyBorder="1" applyAlignment="1">
      <alignment horizontal="right"/>
    </xf>
    <xf numFmtId="10" fontId="23" fillId="35" borderId="13" xfId="15" applyNumberFormat="1" applyFont="1" applyFill="1" applyBorder="1" applyAlignment="1">
      <alignment horizontal="right"/>
    </xf>
    <xf numFmtId="10" fontId="23" fillId="35" borderId="0" xfId="15" applyNumberFormat="1" applyFont="1" applyFill="1" applyBorder="1" applyAlignment="1">
      <alignment horizontal="right"/>
    </xf>
    <xf numFmtId="10" fontId="23" fillId="35" borderId="14" xfId="15" applyNumberFormat="1" applyFont="1" applyFill="1" applyBorder="1" applyAlignment="1">
      <alignment horizontal="right"/>
    </xf>
    <xf numFmtId="49" fontId="31" fillId="33" borderId="0" xfId="0" applyNumberFormat="1" applyFont="1" applyFill="1"/>
    <xf numFmtId="0" fontId="32" fillId="33" borderId="0" xfId="0" applyNumberFormat="1" applyFont="1" applyFill="1" applyAlignment="1">
      <alignment horizontal="right"/>
    </xf>
    <xf numFmtId="49" fontId="32" fillId="33" borderId="0" xfId="0" applyNumberFormat="1" applyFont="1" applyFill="1" applyAlignment="1">
      <alignment horizontal="right"/>
    </xf>
    <xf numFmtId="0" fontId="25" fillId="33" borderId="23" xfId="0" applyFont="1" applyFill="1" applyBorder="1" applyAlignment="1">
      <alignment horizontal="left" indent="1"/>
    </xf>
    <xf numFmtId="167" fontId="25" fillId="33" borderId="22" xfId="0" applyNumberFormat="1" applyFont="1" applyFill="1" applyBorder="1" applyAlignment="1">
      <alignment horizontal="right"/>
    </xf>
    <xf numFmtId="167" fontId="25" fillId="33" borderId="21" xfId="0" applyNumberFormat="1" applyFont="1" applyFill="1" applyBorder="1" applyAlignment="1">
      <alignment horizontal="right"/>
    </xf>
    <xf numFmtId="167" fontId="25" fillId="33" borderId="24" xfId="0" applyNumberFormat="1" applyFont="1" applyFill="1" applyBorder="1" applyAlignment="1">
      <alignment horizontal="right"/>
    </xf>
    <xf numFmtId="184" fontId="23" fillId="35" borderId="13" xfId="0" applyNumberFormat="1" applyFont="1" applyFill="1" applyBorder="1" applyAlignment="1">
      <alignment horizontal="right"/>
    </xf>
    <xf numFmtId="184" fontId="23" fillId="35" borderId="0" xfId="0" applyNumberFormat="1" applyFont="1" applyFill="1" applyBorder="1" applyAlignment="1">
      <alignment horizontal="right"/>
    </xf>
    <xf numFmtId="184" fontId="23" fillId="35" borderId="14" xfId="0" applyNumberFormat="1" applyFont="1" applyFill="1" applyBorder="1" applyAlignment="1">
      <alignment horizontal="right"/>
    </xf>
    <xf numFmtId="184" fontId="23" fillId="35" borderId="23" xfId="0" applyNumberFormat="1" applyFont="1" applyFill="1" applyBorder="1" applyAlignment="1">
      <alignment horizontal="right"/>
    </xf>
    <xf numFmtId="184" fontId="23" fillId="35" borderId="21" xfId="0" applyNumberFormat="1" applyFont="1" applyFill="1" applyBorder="1" applyAlignment="1">
      <alignment horizontal="right"/>
    </xf>
    <xf numFmtId="184" fontId="23" fillId="35" borderId="24" xfId="0" applyNumberFormat="1" applyFont="1" applyFill="1" applyBorder="1" applyAlignment="1">
      <alignment horizontal="right"/>
    </xf>
    <xf numFmtId="0" fontId="23" fillId="34" borderId="0" xfId="0" applyFont="1" applyFill="1"/>
    <xf numFmtId="0" fontId="0" fillId="34" borderId="0" xfId="0" applyFont="1" applyFill="1"/>
    <xf numFmtId="0" fontId="0" fillId="30" borderId="0" xfId="0" applyFont="1" applyFill="1" applyBorder="1" applyAlignment="1">
      <alignment horizontal="right" vertical="center"/>
    </xf>
    <xf numFmtId="0" fontId="0" fillId="30" borderId="16" xfId="0" applyFont="1" applyFill="1" applyBorder="1" applyAlignment="1">
      <alignment horizontal="justify" vertical="center"/>
    </xf>
    <xf numFmtId="0" fontId="0" fillId="30" borderId="16" xfId="0" applyFont="1" applyFill="1" applyBorder="1" applyAlignment="1">
      <alignment horizontal="right" vertical="center"/>
    </xf>
    <xf numFmtId="0" fontId="0" fillId="30" borderId="16" xfId="0" applyFont="1" applyFill="1" applyBorder="1"/>
    <xf numFmtId="0" fontId="75" fillId="30" borderId="0" xfId="0" applyFont="1" applyFill="1" applyBorder="1"/>
    <xf numFmtId="0" fontId="74" fillId="30" borderId="0" xfId="0" applyFont="1" applyFill="1" applyBorder="1"/>
    <xf numFmtId="2" fontId="0" fillId="30" borderId="0" xfId="0" applyNumberFormat="1" applyFont="1" applyFill="1" applyBorder="1" applyAlignment="1">
      <alignment horizontal="right" vertical="center"/>
    </xf>
    <xf numFmtId="3" fontId="0" fillId="30" borderId="0" xfId="0" applyNumberFormat="1" applyFont="1" applyFill="1" applyBorder="1"/>
    <xf numFmtId="2" fontId="0" fillId="30" borderId="0" xfId="0" applyNumberFormat="1" applyFont="1" applyFill="1" applyBorder="1"/>
    <xf numFmtId="1" fontId="0" fillId="30" borderId="0" xfId="0" applyNumberFormat="1" applyFont="1" applyFill="1" applyBorder="1" applyAlignment="1">
      <alignment horizontal="right" vertical="center"/>
    </xf>
    <xf numFmtId="3" fontId="0" fillId="30" borderId="16" xfId="0" applyNumberFormat="1" applyFont="1" applyFill="1" applyBorder="1"/>
    <xf numFmtId="2" fontId="0" fillId="30" borderId="16" xfId="0" applyNumberFormat="1" applyFont="1" applyFill="1" applyBorder="1"/>
    <xf numFmtId="0" fontId="25" fillId="30" borderId="0" xfId="0" applyFont="1" applyFill="1" applyBorder="1" applyAlignment="1" applyProtection="1">
      <alignment vertical="top" wrapText="1" readingOrder="1"/>
      <protection locked="0"/>
    </xf>
    <xf numFmtId="181" fontId="24" fillId="30" borderId="0" xfId="0" applyNumberFormat="1" applyFont="1" applyFill="1" applyBorder="1"/>
    <xf numFmtId="181" fontId="25" fillId="30" borderId="0" xfId="0" applyNumberFormat="1" applyFont="1" applyFill="1" applyBorder="1"/>
    <xf numFmtId="0" fontId="24" fillId="30" borderId="16" xfId="0" applyFont="1" applyFill="1" applyBorder="1"/>
    <xf numFmtId="170" fontId="0" fillId="30" borderId="0" xfId="15" applyNumberFormat="1" applyFont="1" applyFill="1" applyBorder="1"/>
    <xf numFmtId="181" fontId="0" fillId="30" borderId="0" xfId="0" applyNumberFormat="1" applyFont="1" applyFill="1" applyBorder="1"/>
    <xf numFmtId="0" fontId="23" fillId="30" borderId="0" xfId="0" applyFont="1" applyFill="1" applyBorder="1"/>
    <xf numFmtId="4" fontId="0" fillId="30" borderId="0" xfId="0" applyNumberFormat="1" applyFont="1" applyFill="1" applyBorder="1"/>
    <xf numFmtId="0" fontId="0" fillId="33" borderId="19" xfId="0" applyFont="1" applyFill="1" applyBorder="1" applyAlignment="1">
      <alignment vertical="top" wrapText="1"/>
    </xf>
    <xf numFmtId="10" fontId="0" fillId="33" borderId="0" xfId="0" applyNumberFormat="1" applyFont="1" applyFill="1" applyBorder="1" applyAlignment="1">
      <alignment vertical="top" wrapText="1"/>
    </xf>
    <xf numFmtId="10" fontId="0" fillId="33" borderId="14" xfId="0" applyNumberFormat="1" applyFont="1" applyFill="1" applyBorder="1" applyAlignment="1">
      <alignment vertical="top" wrapText="1"/>
    </xf>
    <xf numFmtId="0" fontId="0" fillId="34" borderId="19" xfId="0" applyFont="1" applyFill="1" applyBorder="1" applyAlignment="1">
      <alignment vertical="top" wrapText="1"/>
    </xf>
    <xf numFmtId="10" fontId="0" fillId="34" borderId="0" xfId="0" applyNumberFormat="1" applyFont="1" applyFill="1" applyBorder="1" applyAlignment="1">
      <alignment vertical="top" wrapText="1"/>
    </xf>
    <xf numFmtId="10" fontId="0" fillId="34" borderId="14" xfId="0" applyNumberFormat="1" applyFont="1" applyFill="1" applyBorder="1" applyAlignment="1">
      <alignment vertical="top" wrapText="1"/>
    </xf>
    <xf numFmtId="0" fontId="24" fillId="34" borderId="22" xfId="0" applyFont="1" applyFill="1" applyBorder="1" applyAlignment="1">
      <alignment vertical="top" wrapText="1"/>
    </xf>
    <xf numFmtId="10" fontId="0" fillId="34" borderId="21" xfId="0" applyNumberFormat="1" applyFont="1" applyFill="1" applyBorder="1" applyAlignment="1">
      <alignment vertical="top" wrapText="1"/>
    </xf>
    <xf numFmtId="10" fontId="0" fillId="34" borderId="24" xfId="0" applyNumberFormat="1" applyFont="1" applyFill="1" applyBorder="1" applyAlignment="1">
      <alignment vertical="top" wrapText="1"/>
    </xf>
    <xf numFmtId="0" fontId="24" fillId="34" borderId="19" xfId="0" applyFont="1" applyFill="1" applyBorder="1" applyAlignment="1">
      <alignment vertical="top" wrapText="1"/>
    </xf>
    <xf numFmtId="0" fontId="0" fillId="34" borderId="22" xfId="0" applyFill="1" applyBorder="1" applyAlignment="1">
      <alignment vertical="top" wrapText="1"/>
    </xf>
    <xf numFmtId="0" fontId="0" fillId="34" borderId="19" xfId="0" applyFill="1" applyBorder="1" applyAlignment="1">
      <alignment vertical="top" wrapText="1"/>
    </xf>
    <xf numFmtId="184" fontId="0" fillId="34" borderId="0" xfId="0" applyNumberFormat="1" applyFont="1" applyFill="1" applyBorder="1" applyAlignment="1">
      <alignment vertical="top" wrapText="1"/>
    </xf>
    <xf numFmtId="184" fontId="0" fillId="34" borderId="14" xfId="0" applyNumberFormat="1" applyFont="1" applyFill="1" applyBorder="1" applyAlignment="1">
      <alignment vertical="top" wrapText="1"/>
    </xf>
    <xf numFmtId="0" fontId="24" fillId="33" borderId="22" xfId="0" applyFont="1" applyFill="1" applyBorder="1" applyAlignment="1">
      <alignment vertical="top" wrapText="1"/>
    </xf>
    <xf numFmtId="10" fontId="0" fillId="33" borderId="21" xfId="0" applyNumberFormat="1" applyFont="1" applyFill="1" applyBorder="1" applyAlignment="1">
      <alignment vertical="top" wrapText="1"/>
    </xf>
    <xf numFmtId="10" fontId="0" fillId="33" borderId="24" xfId="0" applyNumberFormat="1" applyFont="1" applyFill="1" applyBorder="1" applyAlignment="1">
      <alignment vertical="top" wrapText="1"/>
    </xf>
    <xf numFmtId="0" fontId="0" fillId="33" borderId="19" xfId="0" applyFill="1" applyBorder="1" applyAlignment="1">
      <alignment vertical="top" wrapText="1"/>
    </xf>
    <xf numFmtId="0" fontId="24" fillId="33" borderId="19" xfId="0" applyFont="1" applyFill="1" applyBorder="1" applyAlignment="1">
      <alignment vertical="top" wrapText="1"/>
    </xf>
    <xf numFmtId="0" fontId="0" fillId="33" borderId="22" xfId="0" applyFill="1" applyBorder="1" applyAlignment="1">
      <alignment vertical="top" wrapText="1"/>
    </xf>
    <xf numFmtId="0" fontId="0" fillId="34" borderId="19" xfId="0" applyFill="1" applyBorder="1"/>
    <xf numFmtId="0" fontId="0" fillId="35" borderId="19" xfId="0" applyFill="1" applyBorder="1"/>
    <xf numFmtId="10" fontId="0" fillId="35" borderId="0" xfId="0" applyNumberFormat="1" applyFill="1" applyBorder="1"/>
    <xf numFmtId="10" fontId="0" fillId="35" borderId="14" xfId="0" applyNumberFormat="1" applyFill="1" applyBorder="1"/>
    <xf numFmtId="0" fontId="0" fillId="34" borderId="18" xfId="0" applyFill="1" applyBorder="1"/>
    <xf numFmtId="0" fontId="0" fillId="34" borderId="22" xfId="0" applyFill="1" applyBorder="1"/>
    <xf numFmtId="0" fontId="36" fillId="35" borderId="0" xfId="0" applyFont="1" applyFill="1"/>
    <xf numFmtId="49" fontId="0" fillId="2" borderId="0" xfId="0" applyNumberFormat="1" applyFill="1" applyAlignment="1">
      <alignment horizontal="left" vertical="center" wrapText="1" indent="1"/>
    </xf>
    <xf numFmtId="0" fontId="0" fillId="2" borderId="0" xfId="0" applyFill="1" applyAlignment="1">
      <alignment horizontal="left" vertical="center" wrapText="1" indent="1"/>
    </xf>
    <xf numFmtId="49" fontId="12" fillId="2" borderId="0" xfId="21" applyNumberFormat="1" applyFont="1" applyFill="1" applyAlignment="1" applyProtection="1">
      <alignment horizontal="left" vertical="center" indent="1"/>
      <protection/>
    </xf>
    <xf numFmtId="11" fontId="0" fillId="2" borderId="0" xfId="0" applyNumberFormat="1" applyFill="1" applyAlignment="1">
      <alignment horizontal="left" vertical="center" wrapText="1" indent="1"/>
    </xf>
    <xf numFmtId="11" fontId="0" fillId="2" borderId="0" xfId="0" applyNumberFormat="1" applyFill="1" applyAlignment="1">
      <alignment horizontal="left" wrapText="1" indent="1"/>
    </xf>
    <xf numFmtId="11" fontId="2" fillId="30" borderId="0" xfId="0" applyNumberFormat="1" applyFont="1" applyFill="1" applyAlignment="1">
      <alignment horizontal="left" vertical="center" wrapText="1" indent="1"/>
    </xf>
    <xf numFmtId="11" fontId="0" fillId="30" borderId="0" xfId="0" applyNumberFormat="1" applyFill="1" applyAlignment="1">
      <alignment horizontal="left" vertical="center" wrapText="1" indent="1"/>
    </xf>
    <xf numFmtId="49" fontId="0" fillId="30" borderId="0" xfId="0" applyNumberFormat="1" applyFill="1" applyAlignment="1">
      <alignment horizontal="left" vertical="center" wrapText="1" indent="1"/>
    </xf>
    <xf numFmtId="49" fontId="2" fillId="30" borderId="0" xfId="0" applyNumberFormat="1" applyFont="1" applyFill="1" applyAlignment="1">
      <alignment horizontal="left" vertical="center" wrapText="1" indent="1"/>
    </xf>
    <xf numFmtId="49" fontId="0" fillId="2" borderId="0" xfId="0" applyNumberFormat="1" applyFill="1" applyAlignment="1">
      <alignment horizontal="left" wrapText="1" indent="1"/>
    </xf>
    <xf numFmtId="174" fontId="0" fillId="33" borderId="0" xfId="0" applyNumberFormat="1" applyFill="1" applyAlignment="1">
      <alignment horizontal="right"/>
    </xf>
    <xf numFmtId="49" fontId="0" fillId="2" borderId="0" xfId="0" applyNumberFormat="1" applyFill="1" applyAlignment="1">
      <alignment horizontal="left" vertical="center" wrapText="1"/>
    </xf>
    <xf numFmtId="49" fontId="11" fillId="2" borderId="0" xfId="0" applyNumberFormat="1" applyFont="1" applyFill="1" applyAlignment="1">
      <alignment horizontal="center"/>
    </xf>
    <xf numFmtId="0" fontId="4" fillId="2" borderId="0" xfId="0" applyFont="1" applyFill="1" applyAlignment="1">
      <alignment horizontal="left"/>
    </xf>
    <xf numFmtId="0" fontId="0" fillId="0" borderId="0" xfId="0" applyAlignment="1">
      <alignment horizontal="left"/>
    </xf>
    <xf numFmtId="183" fontId="32" fillId="28" borderId="0" xfId="0" applyNumberFormat="1" applyFont="1" applyFill="1" applyAlignment="1">
      <alignment horizontal="right" vertical="center"/>
    </xf>
    <xf numFmtId="0" fontId="4" fillId="30" borderId="21" xfId="0" applyFont="1" applyFill="1" applyBorder="1"/>
    <xf numFmtId="0" fontId="0" fillId="30" borderId="0" xfId="0" applyFill="1" applyBorder="1" applyAlignment="1">
      <alignment horizontal="center"/>
    </xf>
    <xf numFmtId="0" fontId="23" fillId="35" borderId="25" xfId="0" applyFont="1" applyFill="1" applyBorder="1" applyAlignment="1">
      <alignment horizontal="left" wrapText="1"/>
    </xf>
    <xf numFmtId="0" fontId="23" fillId="35" borderId="26" xfId="0" applyFont="1" applyFill="1" applyBorder="1" applyAlignment="1">
      <alignment horizontal="left" wrapText="1"/>
    </xf>
    <xf numFmtId="0" fontId="23" fillId="35" borderId="16" xfId="0" applyFont="1" applyFill="1" applyBorder="1" applyAlignment="1">
      <alignment horizontal="left" wrapText="1"/>
    </xf>
    <xf numFmtId="0" fontId="23" fillId="35" borderId="17" xfId="0" applyFont="1" applyFill="1" applyBorder="1" applyAlignment="1">
      <alignment horizontal="left" wrapText="1"/>
    </xf>
    <xf numFmtId="183" fontId="32" fillId="33" borderId="0" xfId="0" applyNumberFormat="1" applyFont="1" applyFill="1" applyAlignment="1">
      <alignment horizontal="right" vertical="center"/>
    </xf>
    <xf numFmtId="0" fontId="0" fillId="30" borderId="13" xfId="0" applyFill="1" applyBorder="1" applyAlignment="1">
      <alignment horizontal="center" wrapText="1"/>
    </xf>
    <xf numFmtId="0" fontId="0" fillId="30" borderId="0" xfId="0" applyFill="1" applyAlignment="1">
      <alignment horizontal="center" wrapText="1"/>
    </xf>
    <xf numFmtId="0" fontId="23" fillId="35" borderId="20" xfId="0" applyFont="1" applyFill="1" applyBorder="1" applyAlignment="1">
      <alignment horizontal="left"/>
    </xf>
    <xf numFmtId="0" fontId="23" fillId="35" borderId="18" xfId="0" applyFont="1" applyFill="1" applyBorder="1" applyAlignment="1">
      <alignment horizontal="left"/>
    </xf>
    <xf numFmtId="0" fontId="23" fillId="35" borderId="25" xfId="0" applyFont="1" applyFill="1" applyBorder="1" applyAlignment="1">
      <alignment horizontal="left"/>
    </xf>
    <xf numFmtId="0" fontId="23" fillId="35" borderId="26" xfId="0" applyFont="1" applyFill="1" applyBorder="1" applyAlignment="1">
      <alignment horizontal="left"/>
    </xf>
    <xf numFmtId="0" fontId="23" fillId="35" borderId="17" xfId="0" applyFont="1" applyFill="1" applyBorder="1" applyAlignment="1">
      <alignment horizontal="left"/>
    </xf>
    <xf numFmtId="0" fontId="23" fillId="35" borderId="26" xfId="0" applyFont="1" applyFill="1" applyBorder="1" applyAlignment="1">
      <alignment horizontal="left" wrapText="1"/>
    </xf>
    <xf numFmtId="0" fontId="23" fillId="35" borderId="17" xfId="0" applyFont="1" applyFill="1" applyBorder="1" applyAlignment="1">
      <alignment horizontal="left" wrapText="1"/>
    </xf>
    <xf numFmtId="0" fontId="23" fillId="35" borderId="27" xfId="0" applyFont="1" applyFill="1" applyBorder="1" applyAlignment="1">
      <alignment horizontal="left" wrapText="1"/>
    </xf>
    <xf numFmtId="0" fontId="23" fillId="35" borderId="15" xfId="0" applyFont="1" applyFill="1" applyBorder="1" applyAlignment="1">
      <alignment horizontal="left" wrapText="1"/>
    </xf>
    <xf numFmtId="0" fontId="0" fillId="30" borderId="0" xfId="0" applyFill="1" applyAlignment="1">
      <alignment horizontal="center"/>
    </xf>
  </cellXfs>
  <cellStyles count="457">
    <cellStyle name="Normal" xfId="0"/>
    <cellStyle name="Percent" xfId="15"/>
    <cellStyle name="Currency" xfId="16"/>
    <cellStyle name="Currency [0]" xfId="17"/>
    <cellStyle name="Comma" xfId="18"/>
    <cellStyle name="Comma [0]" xfId="19"/>
    <cellStyle name="Comma [0] 2" xfId="20"/>
    <cellStyle name="Hyperlink" xfId="21"/>
    <cellStyle name="Normal 2" xfId="22"/>
    <cellStyle name="Comma 2" xfId="23"/>
    <cellStyle name="Percent 2"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20% - ส่วนที่ถูกเน้น1" xfId="71"/>
    <cellStyle name="20% - ส่วนที่ถูกเน้น1 2" xfId="72"/>
    <cellStyle name="20% - ส่วนที่ถูกเน้น2" xfId="73"/>
    <cellStyle name="20% - ส่วนที่ถูกเน้น2 2" xfId="74"/>
    <cellStyle name="20% - ส่วนที่ถูกเน้น3" xfId="75"/>
    <cellStyle name="20% - ส่วนที่ถูกเน้น3 2" xfId="76"/>
    <cellStyle name="20% - ส่วนที่ถูกเน้น4" xfId="77"/>
    <cellStyle name="20% - ส่วนที่ถูกเน้น4 2" xfId="78"/>
    <cellStyle name="20% - ส่วนที่ถูกเน้น5" xfId="79"/>
    <cellStyle name="20% - ส่วนที่ถูกเน้น5 2" xfId="80"/>
    <cellStyle name="20% - ส่วนที่ถูกเน้น6" xfId="81"/>
    <cellStyle name="20% - ส่วนที่ถูกเน้น6 2" xfId="82"/>
    <cellStyle name="40% - ส่วนที่ถูกเน้น1" xfId="83"/>
    <cellStyle name="40% - ส่วนที่ถูกเน้น1 2" xfId="84"/>
    <cellStyle name="40% - ส่วนที่ถูกเน้น2" xfId="85"/>
    <cellStyle name="40% - ส่วนที่ถูกเน้น2 2" xfId="86"/>
    <cellStyle name="40% - ส่วนที่ถูกเน้น3" xfId="87"/>
    <cellStyle name="40% - ส่วนที่ถูกเน้น3 2" xfId="88"/>
    <cellStyle name="40% - ส่วนที่ถูกเน้น4" xfId="89"/>
    <cellStyle name="40% - ส่วนที่ถูกเน้น4 2" xfId="90"/>
    <cellStyle name="40% - ส่วนที่ถูกเน้น5" xfId="91"/>
    <cellStyle name="40% - ส่วนที่ถูกเน้น5 2" xfId="92"/>
    <cellStyle name="40% - ส่วนที่ถูกเน้น6" xfId="93"/>
    <cellStyle name="40% - ส่วนที่ถูกเน้น6 2" xfId="94"/>
    <cellStyle name="60% - ส่วนที่ถูกเน้น1" xfId="95"/>
    <cellStyle name="60% - ส่วนที่ถูกเน้น1 2" xfId="96"/>
    <cellStyle name="60% - ส่วนที่ถูกเน้น2" xfId="97"/>
    <cellStyle name="60% - ส่วนที่ถูกเน้น2 2" xfId="98"/>
    <cellStyle name="60% - ส่วนที่ถูกเน้น3" xfId="99"/>
    <cellStyle name="60% - ส่วนที่ถูกเน้น3 2" xfId="100"/>
    <cellStyle name="60% - ส่วนที่ถูกเน้น4" xfId="101"/>
    <cellStyle name="60% - ส่วนที่ถูกเน้น4 2" xfId="102"/>
    <cellStyle name="60% - ส่วนที่ถูกเน้น5" xfId="103"/>
    <cellStyle name="60% - ส่วนที่ถูกเน้น5 2" xfId="104"/>
    <cellStyle name="60% - ส่วนที่ถูกเน้น6" xfId="105"/>
    <cellStyle name="60% - ส่วนที่ถูกเน้น6 2" xfId="106"/>
    <cellStyle name="Check Cell 2" xfId="107"/>
    <cellStyle name="Check Cell 2 2" xfId="108"/>
    <cellStyle name="Comma 2_Number of births" xfId="109"/>
    <cellStyle name="Comma 2 2" xfId="110"/>
    <cellStyle name="Comma 2 2 2" xfId="111"/>
    <cellStyle name="Comma 2 3" xfId="112"/>
    <cellStyle name="Comma 2 4" xfId="113"/>
    <cellStyle name="Comma 2 5" xfId="114"/>
    <cellStyle name="Comma 3" xfId="115"/>
    <cellStyle name="Comma 3 2" xfId="116"/>
    <cellStyle name="Comma 3 3" xfId="117"/>
    <cellStyle name="Comma 3 4" xfId="118"/>
    <cellStyle name="Comma 3 5"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a 9" xfId="129"/>
    <cellStyle name="Ezres [0]_BUDGET" xfId="130"/>
    <cellStyle name="Ezres_BUDGET" xfId="131"/>
    <cellStyle name="Followed Hyperlink 10" xfId="132"/>
    <cellStyle name="Followed Hyperlink 2" xfId="133"/>
    <cellStyle name="Followed Hyperlink 3" xfId="134"/>
    <cellStyle name="Followed Hyperlink 4" xfId="135"/>
    <cellStyle name="Followed Hyperlink 5" xfId="136"/>
    <cellStyle name="Followed Hyperlink 6" xfId="137"/>
    <cellStyle name="Followed Hyperlink 7" xfId="138"/>
    <cellStyle name="Followed Hyperlink 8" xfId="139"/>
    <cellStyle name="Followed Hyperlink 9" xfId="140"/>
    <cellStyle name="Normal 10" xfId="141"/>
    <cellStyle name="Normal 11" xfId="142"/>
    <cellStyle name="Normal 12" xfId="143"/>
    <cellStyle name="Normal 2_Number of births" xfId="144"/>
    <cellStyle name="Normal 2 2" xfId="145"/>
    <cellStyle name="Normal 2 2 2" xfId="146"/>
    <cellStyle name="Normal 2 3" xfId="147"/>
    <cellStyle name="Normal 2 4" xfId="148"/>
    <cellStyle name="Normal 2 5" xfId="149"/>
    <cellStyle name="Normal 3" xfId="150"/>
    <cellStyle name="Normal 3 2" xfId="151"/>
    <cellStyle name="Normal 3 2 2" xfId="152"/>
    <cellStyle name="Normal 3 2 3" xfId="153"/>
    <cellStyle name="Normal 3 2 4" xfId="154"/>
    <cellStyle name="Normal 3 2 5" xfId="155"/>
    <cellStyle name="Normal 3 3" xfId="156"/>
    <cellStyle name="Normal 3 3 2" xfId="157"/>
    <cellStyle name="Normal 3 3 3" xfId="158"/>
    <cellStyle name="Normal 3 4" xfId="159"/>
    <cellStyle name="Normal 3 5" xfId="160"/>
    <cellStyle name="Normal 4" xfId="161"/>
    <cellStyle name="Normal 4 2" xfId="162"/>
    <cellStyle name="Normal 4 3" xfId="163"/>
    <cellStyle name="Normal 4 4" xfId="164"/>
    <cellStyle name="Normal 4 5" xfId="165"/>
    <cellStyle name="Normal 5" xfId="166"/>
    <cellStyle name="Normal 5 2" xfId="167"/>
    <cellStyle name="Normal 5 3" xfId="168"/>
    <cellStyle name="Normal 5 4" xfId="169"/>
    <cellStyle name="Normal 5 5" xfId="170"/>
    <cellStyle name="Normal 6" xfId="171"/>
    <cellStyle name="Normal 6 2" xfId="172"/>
    <cellStyle name="Normal 6 3" xfId="173"/>
    <cellStyle name="Normal 7" xfId="174"/>
    <cellStyle name="Normal 7 2" xfId="175"/>
    <cellStyle name="Normal 8" xfId="176"/>
    <cellStyle name="Normal 8 2" xfId="177"/>
    <cellStyle name="Normal 9" xfId="178"/>
    <cellStyle name="Normál_BUDGET" xfId="179"/>
    <cellStyle name="Pénznem [0]_BUDGET" xfId="180"/>
    <cellStyle name="Pénznem_BUDGET" xfId="181"/>
    <cellStyle name="Percent 2 2" xfId="182"/>
    <cellStyle name="Percent 2 2 2" xfId="183"/>
    <cellStyle name="Percent 2 3" xfId="184"/>
    <cellStyle name="Percent 2 4" xfId="185"/>
    <cellStyle name="Percent 3" xfId="186"/>
    <cellStyle name="Percent 3 2" xfId="187"/>
    <cellStyle name="Percent 3 3" xfId="188"/>
    <cellStyle name="Percent 3 4" xfId="189"/>
    <cellStyle name="Percent 3 5" xfId="190"/>
    <cellStyle name="Percent 4" xfId="191"/>
    <cellStyle name="Percent 4 2" xfId="192"/>
    <cellStyle name="Percent 5" xfId="193"/>
    <cellStyle name="Percent 5 2" xfId="194"/>
    <cellStyle name="Percent 5 3" xfId="195"/>
    <cellStyle name="Percent 5 4" xfId="196"/>
    <cellStyle name="Percent 6" xfId="197"/>
    <cellStyle name="Percent 6 2" xfId="198"/>
    <cellStyle name="Percent 7" xfId="199"/>
    <cellStyle name="Percent 8" xfId="200"/>
    <cellStyle name="การคำนวณ" xfId="201"/>
    <cellStyle name="การคำนวณ 2" xfId="202"/>
    <cellStyle name="การคำนวณ 2 2" xfId="203"/>
    <cellStyle name="การคำนวณ 2 3" xfId="204"/>
    <cellStyle name="ข้อความเตือน" xfId="205"/>
    <cellStyle name="ข้อความเตือน 2" xfId="206"/>
    <cellStyle name="ข้อความอธิบาย" xfId="207"/>
    <cellStyle name="ข้อความอธิบาย 2" xfId="208"/>
    <cellStyle name="เครื่องหมายจุลภาค 2" xfId="209"/>
    <cellStyle name="เครื่องหมายจุลภาค 3" xfId="210"/>
    <cellStyle name="เครื่องหมายจุลภาค 4" xfId="211"/>
    <cellStyle name="ชื่อเรื่อง" xfId="212"/>
    <cellStyle name="ชื่อเรื่อง 2" xfId="213"/>
    <cellStyle name="เซลล์ตรวจสอบ" xfId="214"/>
    <cellStyle name="เซลล์ตรวจสอบ 2" xfId="215"/>
    <cellStyle name="เซลล์ที่มีการเชื่อมโยง" xfId="216"/>
    <cellStyle name="เซลล์ที่มีการเชื่อมโยง 2" xfId="217"/>
    <cellStyle name="ดี" xfId="218"/>
    <cellStyle name="ดี 2" xfId="219"/>
    <cellStyle name="ปกติ 11" xfId="220"/>
    <cellStyle name="ปกติ 14" xfId="221"/>
    <cellStyle name="ปกติ 15" xfId="222"/>
    <cellStyle name="ปกติ 2" xfId="223"/>
    <cellStyle name="ปกติ 3" xfId="224"/>
    <cellStyle name="ปกติ 9" xfId="225"/>
    <cellStyle name="ปกติ_Demographic data MOI" xfId="226"/>
    <cellStyle name="ป้อนค่า" xfId="227"/>
    <cellStyle name="ป้อนค่า 2" xfId="228"/>
    <cellStyle name="ป้อนค่า 2 2" xfId="229"/>
    <cellStyle name="ป้อนค่า 2 3" xfId="230"/>
    <cellStyle name="ปานกลาง" xfId="231"/>
    <cellStyle name="ปานกลาง 2" xfId="232"/>
    <cellStyle name="เปอร์เซ็นต์ 2" xfId="233"/>
    <cellStyle name="เปอร์เซ็นต์ 3" xfId="234"/>
    <cellStyle name="ผลรวม" xfId="235"/>
    <cellStyle name="ผลรวม 2" xfId="236"/>
    <cellStyle name="ผลรวม 2 2" xfId="237"/>
    <cellStyle name="ผลรวม 2 3" xfId="238"/>
    <cellStyle name="แย่" xfId="239"/>
    <cellStyle name="แย่ 2" xfId="240"/>
    <cellStyle name="ส่วนที่ถูกเน้น1" xfId="241"/>
    <cellStyle name="ส่วนที่ถูกเน้น1 2" xfId="242"/>
    <cellStyle name="ส่วนที่ถูกเน้น2" xfId="243"/>
    <cellStyle name="ส่วนที่ถูกเน้น2 2" xfId="244"/>
    <cellStyle name="ส่วนที่ถูกเน้น3" xfId="245"/>
    <cellStyle name="ส่วนที่ถูกเน้น3 2" xfId="246"/>
    <cellStyle name="ส่วนที่ถูกเน้น4" xfId="247"/>
    <cellStyle name="ส่วนที่ถูกเน้น4 2" xfId="248"/>
    <cellStyle name="ส่วนที่ถูกเน้น5" xfId="249"/>
    <cellStyle name="ส่วนที่ถูกเน้น5 2" xfId="250"/>
    <cellStyle name="ส่วนที่ถูกเน้น6" xfId="251"/>
    <cellStyle name="ส่วนที่ถูกเน้น6 2" xfId="252"/>
    <cellStyle name="แสดงผล" xfId="253"/>
    <cellStyle name="แสดงผล 2" xfId="254"/>
    <cellStyle name="แสดงผล 2 2" xfId="255"/>
    <cellStyle name="แสดงผล 2 3" xfId="256"/>
    <cellStyle name="หมายเหตุ" xfId="257"/>
    <cellStyle name="หมายเหตุ 2" xfId="258"/>
    <cellStyle name="หมายเหตุ 2 2" xfId="259"/>
    <cellStyle name="หมายเหตุ 2 3" xfId="260"/>
    <cellStyle name="หัวเรื่อง 1" xfId="261"/>
    <cellStyle name="หัวเรื่อง 1 2" xfId="262"/>
    <cellStyle name="หัวเรื่อง 2" xfId="263"/>
    <cellStyle name="หัวเรื่อง 2 2" xfId="264"/>
    <cellStyle name="หัวเรื่อง 3" xfId="265"/>
    <cellStyle name="หัวเรื่อง 3 2" xfId="266"/>
    <cellStyle name="หัวเรื่อง 4" xfId="267"/>
    <cellStyle name="หัวเรื่อง 4 2"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8"/>
    </mc:Choice>
    <mc:Fallback>
      <c:style val="48"/>
    </mc:Fallback>
  </mc:AlternateContent>
  <c:chart>
    <c:autoTitleDeleted val="1"/>
    <c:plotArea>
      <c:layout>
        <c:manualLayout>
          <c:layoutTarget val="inner"/>
          <c:xMode val="edge"/>
          <c:yMode val="edge"/>
          <c:x val="0.05875"/>
          <c:y val="0.03575"/>
          <c:w val="0.76075"/>
          <c:h val="0.92825"/>
        </c:manualLayout>
      </c:layout>
      <c:barChart>
        <c:barDir val="col"/>
        <c:grouping val="clustered"/>
        <c:varyColors val="0"/>
        <c:ser>
          <c:idx val="0"/>
          <c:order val="0"/>
          <c:tx>
            <c:strRef>
              <c:f>'GGO (Benefits)'!$A$19</c:f>
              <c:strCache>
                <c:ptCount val="1"/>
                <c:pt idx="0">
                  <c:v>Balance at status quo (as % of GDP)</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'GGO (Benefits)'!$J$9:$Q$9</c:f>
              <c:numCache/>
            </c:numRef>
          </c:cat>
          <c:val>
            <c:numRef>
              <c:f>'GGO (Benefits)'!$J$19:$Q$19</c:f>
              <c:numCache/>
            </c:numRef>
          </c:val>
        </c:ser>
        <c:ser>
          <c:idx val="1"/>
          <c:order val="1"/>
          <c:tx>
            <c:strRef>
              <c:f>'GGO (Benefits)'!$A$20</c:f>
              <c:strCache>
                <c:ptCount val="1"/>
                <c:pt idx="0">
                  <c:v>Balance after low scenario (as % of GDP)</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'GGO (Benefits)'!$J$9:$Q$9</c:f>
              <c:numCache/>
            </c:numRef>
          </c:cat>
          <c:val>
            <c:numRef>
              <c:f>'GGO (Benefits)'!$J$20:$Q$20</c:f>
              <c:numCache/>
            </c:numRef>
          </c:val>
        </c:ser>
        <c:ser>
          <c:idx val="2"/>
          <c:order val="2"/>
          <c:tx>
            <c:strRef>
              <c:f>'GGO (Benefits)'!$A$21</c:f>
              <c:strCache>
                <c:ptCount val="1"/>
                <c:pt idx="0">
                  <c:v>Balance after high scenario (as % of GDP)</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'GGO (Benefits)'!$J$9:$Q$9</c:f>
              <c:numCache/>
            </c:numRef>
          </c:cat>
          <c:val>
            <c:numRef>
              <c:f>'GGO (Benefits)'!$J$21:$Q$21</c:f>
              <c:numCache/>
            </c:numRef>
          </c:val>
        </c:ser>
        <c:axId val="4081493"/>
        <c:axId val="60360502"/>
      </c:barChart>
      <c:catAx>
        <c:axId val="4081493"/>
        <c:scaling>
          <c:orientation val="minMax"/>
        </c:scaling>
        <c:axPos val="b"/>
        <c:delete val="0"/>
        <c:numFmt formatCode="General" sourceLinked="1"/>
        <c:majorTickMark val="out"/>
        <c:minorTickMark val="none"/>
        <c:tickLblPos val="nextTo"/>
        <c:txPr>
          <a:bodyPr/>
          <a:lstStyle/>
          <a:p>
            <a:pPr>
              <a:defRPr lang="en-US" cap="none" sz="1200" b="1" u="none" baseline="0">
                <a:latin typeface="Calibri"/>
                <a:ea typeface="Calibri"/>
                <a:cs typeface="Calibri"/>
              </a:defRPr>
            </a:pPr>
          </a:p>
        </c:txPr>
        <c:crossAx val="60360502"/>
        <c:crosses val="autoZero"/>
        <c:auto val="1"/>
        <c:lblOffset val="100"/>
        <c:noMultiLvlLbl val="0"/>
      </c:catAx>
      <c:valAx>
        <c:axId val="60360502"/>
        <c:scaling>
          <c:orientation val="minMax"/>
        </c:scaling>
        <c:axPos val="l"/>
        <c:majorGridlines/>
        <c:delete val="0"/>
        <c:numFmt formatCode="0.0%" sourceLinked="1"/>
        <c:majorTickMark val="out"/>
        <c:minorTickMark val="none"/>
        <c:tickLblPos val="nextTo"/>
        <c:txPr>
          <a:bodyPr/>
          <a:lstStyle/>
          <a:p>
            <a:pPr>
              <a:defRPr lang="en-US" cap="none" sz="1100" u="none" baseline="0">
                <a:latin typeface="Calibri"/>
                <a:ea typeface="Calibri"/>
                <a:cs typeface="Calibri"/>
              </a:defRPr>
            </a:pPr>
          </a:p>
        </c:txPr>
        <c:crossAx val="4081493"/>
        <c:crosses val="autoZero"/>
        <c:crossBetween val="between"/>
        <c:dispUnits/>
      </c:valAx>
    </c:plotArea>
    <c:legend>
      <c:legendPos val="r"/>
      <c:legendEntry>
        <c:idx val="0"/>
        <c:txPr>
          <a:bodyPr vert="horz" rot="0"/>
          <a:lstStyle/>
          <a:p>
            <a:pPr>
              <a:defRPr lang="en-US" cap="none" sz="1100" b="1" u="none" baseline="0">
                <a:latin typeface="Calibri"/>
                <a:ea typeface="Calibri"/>
                <a:cs typeface="Calibri"/>
              </a:defRPr>
            </a:pPr>
          </a:p>
        </c:txPr>
      </c:legendEntry>
      <c:legendEntry>
        <c:idx val="1"/>
        <c:txPr>
          <a:bodyPr vert="horz" rot="0"/>
          <a:lstStyle/>
          <a:p>
            <a:pPr>
              <a:defRPr lang="en-US" cap="none" sz="1100" b="1" u="none" baseline="0">
                <a:latin typeface="Calibri"/>
                <a:ea typeface="Calibri"/>
                <a:cs typeface="Calibri"/>
              </a:defRPr>
            </a:pPr>
          </a:p>
        </c:txPr>
      </c:legendEntry>
      <c:legendEntry>
        <c:idx val="2"/>
        <c:txPr>
          <a:bodyPr vert="horz" rot="0"/>
          <a:lstStyle/>
          <a:p>
            <a:pPr>
              <a:defRPr lang="en-US" cap="none" sz="1100" b="1" u="none" baseline="0">
                <a:latin typeface="Calibri"/>
                <a:ea typeface="Calibri"/>
                <a:cs typeface="Calibri"/>
              </a:defRPr>
            </a:pPr>
          </a:p>
        </c:txPr>
      </c:legendEntry>
      <c:layout>
        <c:manualLayout>
          <c:xMode val="edge"/>
          <c:yMode val="edge"/>
          <c:x val="0.84425"/>
          <c:y val="0.18375"/>
          <c:w val="0.143"/>
          <c:h val="0.70575"/>
        </c:manualLayout>
      </c:layout>
      <c:overlay val="0"/>
    </c:legend>
    <c:plotVisOnly val="1"/>
    <c:dispBlanksAs val="gap"/>
    <c:showDLblsOverMax val="0"/>
  </c:chart>
  <c:spPr>
    <a:solidFill>
      <a:srgbClr val="000000"/>
    </a:solidFill>
  </c:spPr>
  <c:lang xmlns:c="http://schemas.openxmlformats.org/drawingml/2006/chart" val="en-IN"/>
  <c:printSettings xmlns:c="http://schemas.openxmlformats.org/drawingml/2006/chart">
    <c:headerFooter/>
    <c:pageMargins b="0.75000000000000111" l="0.70000000000000062" r="0.70000000000000062" t="0.75000000000000111"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2"/>
    </mc:Choice>
    <mc:Fallback>
      <c:style val="42"/>
    </mc:Fallback>
  </mc:AlternateContent>
  <c:chart>
    <c:autoTitleDeleted val="1"/>
    <c:plotArea>
      <c:layout/>
      <c:barChart>
        <c:barDir val="col"/>
        <c:grouping val="stacked"/>
        <c:varyColors val="0"/>
        <c:ser>
          <c:idx val="0"/>
          <c:order val="0"/>
          <c:tx>
            <c:strRef>
              <c:f>Summary!$A$47</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Summary!$D$45:$Q$46</c:f>
              <c:multiLvlStrCache/>
            </c:multiLvlStrRef>
          </c:cat>
          <c:val>
            <c:numRef>
              <c:f>Summary!$D$47:$Q$47</c:f>
              <c:numCache/>
            </c:numRef>
          </c:val>
        </c:ser>
        <c:ser>
          <c:idx val="1"/>
          <c:order val="1"/>
          <c:tx>
            <c:strRef>
              <c:f>Summary!$A$48</c:f>
              <c:strCache>
                <c:ptCount val="1"/>
                <c:pt idx="0">
                  <c:v>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Summary!$D$45:$Q$46</c:f>
              <c:multiLvlStrCache/>
            </c:multiLvlStrRef>
          </c:cat>
          <c:val>
            <c:numRef>
              <c:f>Summary!$D$48:$Q$48</c:f>
              <c:numCache/>
            </c:numRef>
          </c:val>
        </c:ser>
        <c:ser>
          <c:idx val="2"/>
          <c:order val="2"/>
          <c:tx>
            <c:strRef>
              <c:f>Summary!$A$49</c:f>
              <c:strCache>
                <c:ptCount val="1"/>
                <c:pt idx="0">
                  <c:v>Working 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Summary!$D$45:$Q$46</c:f>
              <c:multiLvlStrCache/>
            </c:multiLvlStrRef>
          </c:cat>
          <c:val>
            <c:numRef>
              <c:f>Summary!$D$49:$Q$49</c:f>
              <c:numCache/>
            </c:numRef>
          </c:val>
        </c:ser>
        <c:ser>
          <c:idx val="3"/>
          <c:order val="3"/>
          <c:tx>
            <c:strRef>
              <c:f>Summary!$A$50</c:f>
              <c:strCache>
                <c:ptCount val="1"/>
                <c:pt idx="0">
                  <c:v>Elderly</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Summary!$D$45:$Q$46</c:f>
              <c:multiLvlStrCache/>
            </c:multiLvlStrRef>
          </c:cat>
          <c:val>
            <c:numRef>
              <c:f>Summary!$D$50:$Q$50</c:f>
              <c:numCache/>
            </c:numRef>
          </c:val>
        </c:ser>
        <c:ser>
          <c:idx val="4"/>
          <c:order val="4"/>
          <c:tx>
            <c:strRef>
              <c:f>Summary!$A$51</c:f>
              <c:strCache>
                <c:ptCount val="1"/>
                <c:pt idx="0">
                  <c:v>Maternity</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Summary!$D$45:$Q$46</c:f>
              <c:multiLvlStrCache/>
            </c:multiLvlStrRef>
          </c:cat>
          <c:val>
            <c:numRef>
              <c:f>Summary!$D$51:$Q$51</c:f>
              <c:numCache/>
            </c:numRef>
          </c:val>
        </c:ser>
        <c:ser>
          <c:idx val="5"/>
          <c:order val="5"/>
          <c:tx>
            <c:strRef>
              <c:f>Summary!$A$52</c:f>
              <c:strCache>
                <c:ptCount val="1"/>
                <c:pt idx="0">
                  <c:v>HIV</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Summary!$D$45:$Q$46</c:f>
              <c:multiLvlStrCache/>
            </c:multiLvlStrRef>
          </c:cat>
          <c:val>
            <c:numRef>
              <c:f>Summary!$D$52:$Q$52</c:f>
              <c:numCache/>
            </c:numRef>
          </c:val>
        </c:ser>
        <c:overlap val="100"/>
        <c:axId val="16497527"/>
        <c:axId val="56756248"/>
      </c:barChart>
      <c:catAx>
        <c:axId val="16497527"/>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56756248"/>
        <c:crosses val="autoZero"/>
        <c:auto val="1"/>
        <c:lblOffset val="100"/>
        <c:noMultiLvlLbl val="0"/>
      </c:catAx>
      <c:valAx>
        <c:axId val="56756248"/>
        <c:scaling>
          <c:orientation val="minMax"/>
        </c:scaling>
        <c:axPos val="l"/>
        <c:majorGridlines/>
        <c:delete val="0"/>
        <c:numFmt formatCode="0.00%" sourceLinked="1"/>
        <c:majorTickMark val="out"/>
        <c:minorTickMark val="none"/>
        <c:tickLblPos val="nextTo"/>
        <c:txPr>
          <a:bodyPr/>
          <a:lstStyle/>
          <a:p>
            <a:pPr>
              <a:defRPr lang="en-US" cap="none" sz="1100" b="0" u="none" baseline="0">
                <a:latin typeface="Calibri"/>
                <a:ea typeface="Calibri"/>
                <a:cs typeface="Calibri"/>
              </a:defRPr>
            </a:pPr>
          </a:p>
        </c:txPr>
        <c:crossAx val="16497527"/>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IN"/>
  <c:printSettings xmlns:c="http://schemas.openxmlformats.org/drawingml/2006/chart">
    <c:headerFooter/>
    <c:pageMargins b="0.75000000000000133" l="0.70000000000000062" r="0.70000000000000062" t="0.75000000000000133"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8"/>
    </mc:Choice>
    <mc:Fallback>
      <c:style val="48"/>
    </mc:Fallback>
  </mc:AlternateContent>
  <c:chart>
    <c:autoTitleDeleted val="1"/>
    <c:plotArea>
      <c:layout/>
      <c:lineChart>
        <c:grouping val="standard"/>
        <c:varyColors val="0"/>
        <c:ser>
          <c:idx val="0"/>
          <c:order val="0"/>
          <c:tx>
            <c:strRef>
              <c:f>Unemployment_Poverty!$A$6</c:f>
              <c:strCache>
                <c:ptCount val="1"/>
                <c:pt idx="0">
                  <c:v>Males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trendline>
            <c:spPr>
              <a:ln w="9525">
                <a:solidFill>
                  <a:srgbClr val="000000"/>
                </a:solidFill>
              </a:ln>
            </c:spPr>
            <c:trendlineType val="log"/>
            <c:dispEq val="1"/>
            <c:dispRSqr val="1"/>
            <c:trendlineLbl>
              <c:layout>
                <c:manualLayout>
                  <c:x val="0.28175"/>
                  <c:y val="-0.43675"/>
                </c:manualLayout>
              </c:layout>
              <c:txPr>
                <a:bodyPr vert="horz" rot="0" anchor="ctr"/>
                <a:lstStyle/>
                <a:p>
                  <a:pPr algn="ctr">
                    <a:defRPr lang="en-US" cap="none" sz="1100" b="1" u="none" baseline="0">
                      <a:latin typeface="Calibri"/>
                      <a:ea typeface="Calibri"/>
                      <a:cs typeface="Calibri"/>
                    </a:defRPr>
                  </a:pPr>
                </a:p>
              </c:txPr>
              <c:numFmt formatCode="General"/>
            </c:trendlineLbl>
          </c:trendline>
          <c:cat>
            <c:numRef>
              <c:f>Unemployment_Poverty!$B$5:$L$5</c:f>
              <c:numCache/>
            </c:numRef>
          </c:cat>
          <c:val>
            <c:numRef>
              <c:f>Unemployment_Poverty!$B$6:$L$6</c:f>
              <c:numCache/>
            </c:numRef>
          </c:val>
          <c:smooth val="0"/>
        </c:ser>
        <c:ser>
          <c:idx val="1"/>
          <c:order val="1"/>
          <c:tx>
            <c:strRef>
              <c:f>Unemployment_Poverty!$A$7</c:f>
              <c:strCache>
                <c:ptCount val="1"/>
                <c:pt idx="0">
                  <c:v>Females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trendline>
            <c:spPr>
              <a:ln w="9525">
                <a:solidFill>
                  <a:srgbClr val="000000"/>
                </a:solidFill>
              </a:ln>
            </c:spPr>
            <c:trendlineType val="log"/>
            <c:dispEq val="1"/>
            <c:dispRSqr val="1"/>
            <c:trendlineLbl>
              <c:layout>
                <c:manualLayout>
                  <c:x val="0.339"/>
                  <c:y val="0.09125"/>
                </c:manualLayout>
              </c:layout>
              <c:txPr>
                <a:bodyPr vert="horz" rot="0" anchor="ctr"/>
                <a:lstStyle/>
                <a:p>
                  <a:pPr algn="ctr">
                    <a:defRPr lang="en-US" cap="none" sz="1100" b="1" u="none" baseline="0">
                      <a:latin typeface="Calibri"/>
                      <a:ea typeface="Calibri"/>
                      <a:cs typeface="Calibri"/>
                    </a:defRPr>
                  </a:pPr>
                </a:p>
              </c:txPr>
              <c:numFmt formatCode="General"/>
            </c:trendlineLbl>
          </c:trendline>
          <c:cat>
            <c:numRef>
              <c:f>Unemployment_Poverty!$B$5:$L$5</c:f>
              <c:numCache/>
            </c:numRef>
          </c:cat>
          <c:val>
            <c:numRef>
              <c:f>Unemployment_Poverty!$B$7:$L$7</c:f>
              <c:numCache/>
            </c:numRef>
          </c:val>
          <c:smooth val="0"/>
        </c:ser>
        <c:axId val="2429209"/>
        <c:axId val="34306682"/>
      </c:lineChart>
      <c:catAx>
        <c:axId val="2429209"/>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34306682"/>
        <c:crosses val="autoZero"/>
        <c:auto val="1"/>
        <c:lblOffset val="100"/>
        <c:noMultiLvlLbl val="0"/>
      </c:catAx>
      <c:valAx>
        <c:axId val="34306682"/>
        <c:scaling>
          <c:orientation val="minMax"/>
        </c:scaling>
        <c:axPos val="l"/>
        <c:majorGridlines/>
        <c:delete val="0"/>
        <c:numFmt formatCode="General" sourceLinked="1"/>
        <c:majorTickMark val="out"/>
        <c:minorTickMark val="none"/>
        <c:tickLblPos val="nextTo"/>
        <c:txPr>
          <a:bodyPr/>
          <a:lstStyle/>
          <a:p>
            <a:pPr>
              <a:defRPr lang="en-US" cap="none" sz="1100" u="none" baseline="0">
                <a:latin typeface="Calibri"/>
                <a:ea typeface="Calibri"/>
                <a:cs typeface="Calibri"/>
              </a:defRPr>
            </a:pPr>
          </a:p>
        </c:txPr>
        <c:crossAx val="2429209"/>
        <c:crosses val="autoZero"/>
        <c:crossBetween val="between"/>
        <c:dispUnits/>
      </c:valAx>
    </c:plotArea>
    <c:legend>
      <c:legendPos val="r"/>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IN"/>
  <c:printSettings xmlns:c="http://schemas.openxmlformats.org/drawingml/2006/chart">
    <c:headerFooter/>
    <c:pageMargins b="0.75000000000000167" l="0.70000000000000062" r="0.70000000000000062" t="0.75000000000000167"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8"/>
    </mc:Choice>
    <mc:Fallback>
      <c:style val="48"/>
    </mc:Fallback>
  </mc:AlternateContent>
  <c:chart>
    <c:autoTitleDeleted val="1"/>
    <c:plotArea>
      <c:layout>
        <c:manualLayout>
          <c:layoutTarget val="inner"/>
          <c:xMode val="edge"/>
          <c:yMode val="edge"/>
          <c:x val="0.104"/>
          <c:y val="0.0745"/>
          <c:w val="0.709"/>
          <c:h val="0.8325"/>
        </c:manualLayout>
      </c:layout>
      <c:lineChart>
        <c:grouping val="standard"/>
        <c:varyColors val="0"/>
        <c:ser>
          <c:idx val="0"/>
          <c:order val="0"/>
          <c:tx>
            <c:strRef>
              <c:f>Unemployment_Poverty!$A$55</c:f>
              <c:strCache>
                <c:ptCount val="1"/>
                <c:pt idx="0">
                  <c:v>&lt;15 yrs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trendline>
            <c:spPr>
              <a:ln w="9525">
                <a:solidFill>
                  <a:srgbClr val="000000"/>
                </a:solidFill>
              </a:ln>
            </c:spPr>
            <c:trendlineType val="log"/>
            <c:dispEq val="1"/>
            <c:dispRSqr val="1"/>
            <c:trendlineLbl>
              <c:layout>
                <c:manualLayout>
                  <c:x val="-0.444"/>
                  <c:y val="-0.2255"/>
                </c:manualLayout>
              </c:layout>
              <c:txPr>
                <a:bodyPr vert="horz" rot="0" anchor="ctr"/>
                <a:lstStyle/>
                <a:p>
                  <a:pPr algn="ctr">
                    <a:defRPr lang="en-US" cap="none" sz="1100" b="1" u="none" baseline="0">
                      <a:latin typeface="Calibri"/>
                      <a:ea typeface="Calibri"/>
                      <a:cs typeface="Calibri"/>
                    </a:defRPr>
                  </a:pPr>
                </a:p>
              </c:txPr>
              <c:numFmt formatCode="General"/>
            </c:trendlineLbl>
          </c:trendline>
          <c:cat>
            <c:numRef>
              <c:f>Unemployment_Poverty!$B$54:$L$54</c:f>
              <c:numCache/>
            </c:numRef>
          </c:cat>
          <c:val>
            <c:numRef>
              <c:f>Unemployment_Poverty!$B$55:$L$55</c:f>
              <c:numCache/>
            </c:numRef>
          </c:val>
          <c:smooth val="0"/>
        </c:ser>
        <c:ser>
          <c:idx val="1"/>
          <c:order val="1"/>
          <c:tx>
            <c:strRef>
              <c:f>Unemployment_Poverty!$A$56</c:f>
              <c:strCache>
                <c:ptCount val="1"/>
                <c:pt idx="0">
                  <c:v>15-59 yrs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trendline>
            <c:spPr>
              <a:ln w="9525">
                <a:solidFill>
                  <a:srgbClr val="000000"/>
                </a:solidFill>
              </a:ln>
            </c:spPr>
            <c:trendlineType val="log"/>
            <c:dispEq val="1"/>
            <c:dispRSqr val="1"/>
            <c:trendlineLbl>
              <c:layout>
                <c:manualLayout>
                  <c:x val="-0.24175"/>
                  <c:y val="-0.27125"/>
                </c:manualLayout>
              </c:layout>
              <c:txPr>
                <a:bodyPr vert="horz" rot="0" anchor="ctr"/>
                <a:lstStyle/>
                <a:p>
                  <a:pPr algn="ctr">
                    <a:defRPr lang="en-US" cap="none" sz="1100" b="1" u="none" baseline="0">
                      <a:latin typeface="Calibri"/>
                      <a:ea typeface="Calibri"/>
                      <a:cs typeface="Calibri"/>
                    </a:defRPr>
                  </a:pPr>
                </a:p>
              </c:txPr>
              <c:numFmt formatCode="General"/>
            </c:trendlineLbl>
          </c:trendline>
          <c:cat>
            <c:numRef>
              <c:f>Unemployment_Poverty!$B$54:$L$54</c:f>
              <c:numCache/>
            </c:numRef>
          </c:cat>
          <c:val>
            <c:numRef>
              <c:f>Unemployment_Poverty!$B$56:$L$56</c:f>
              <c:numCache/>
            </c:numRef>
          </c:val>
          <c:smooth val="0"/>
        </c:ser>
        <c:ser>
          <c:idx val="2"/>
          <c:order val="2"/>
          <c:tx>
            <c:strRef>
              <c:f>Unemployment_Poverty!$A$57</c:f>
              <c:strCache>
                <c:ptCount val="1"/>
                <c:pt idx="0">
                  <c:v>60+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trendline>
            <c:spPr>
              <a:ln w="9525">
                <a:solidFill>
                  <a:srgbClr val="000000"/>
                </a:solidFill>
              </a:ln>
            </c:spPr>
            <c:trendlineType val="log"/>
            <c:dispEq val="1"/>
            <c:dispRSqr val="1"/>
            <c:trendlineLbl>
              <c:layout>
                <c:manualLayout>
                  <c:x val="0.11725"/>
                  <c:y val="0.072"/>
                </c:manualLayout>
              </c:layout>
              <c:txPr>
                <a:bodyPr vert="horz" rot="0" anchor="ctr"/>
                <a:lstStyle/>
                <a:p>
                  <a:pPr algn="ctr">
                    <a:defRPr lang="en-US" cap="none" sz="1100" b="1" u="none" baseline="0">
                      <a:latin typeface="Calibri"/>
                      <a:ea typeface="Calibri"/>
                      <a:cs typeface="Calibri"/>
                    </a:defRPr>
                  </a:pPr>
                </a:p>
              </c:txPr>
              <c:numFmt formatCode="General"/>
            </c:trendlineLbl>
          </c:trendline>
          <c:cat>
            <c:numRef>
              <c:f>Unemployment_Poverty!$B$54:$L$54</c:f>
              <c:numCache/>
            </c:numRef>
          </c:cat>
          <c:val>
            <c:numRef>
              <c:f>Unemployment_Poverty!$B$57:$L$57</c:f>
              <c:numCache/>
            </c:numRef>
          </c:val>
          <c:smooth val="0"/>
        </c:ser>
        <c:axId val="39413819"/>
        <c:axId val="65044060"/>
      </c:lineChart>
      <c:catAx>
        <c:axId val="39413819"/>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65044060"/>
        <c:crosses val="autoZero"/>
        <c:auto val="1"/>
        <c:lblOffset val="100"/>
        <c:noMultiLvlLbl val="0"/>
      </c:catAx>
      <c:valAx>
        <c:axId val="65044060"/>
        <c:scaling>
          <c:orientation val="minMax"/>
        </c:scaling>
        <c:axPos val="l"/>
        <c:majorGridlines/>
        <c:delete val="0"/>
        <c:numFmt formatCode="[$-10409]#,##0.##" sourceLinked="1"/>
        <c:majorTickMark val="out"/>
        <c:minorTickMark val="none"/>
        <c:tickLblPos val="nextTo"/>
        <c:txPr>
          <a:bodyPr/>
          <a:lstStyle/>
          <a:p>
            <a:pPr>
              <a:defRPr lang="en-US" cap="none" sz="1100" u="none" baseline="0">
                <a:latin typeface="Calibri"/>
                <a:ea typeface="Calibri"/>
                <a:cs typeface="Calibri"/>
              </a:defRPr>
            </a:pPr>
          </a:p>
        </c:txPr>
        <c:crossAx val="39413819"/>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IN"/>
  <c:printSettings xmlns:c="http://schemas.openxmlformats.org/drawingml/2006/chart">
    <c:headerFooter/>
    <c:pageMargins b="0.75000000000000167" l="0.70000000000000062" r="0.70000000000000062" t="0.75000000000000167" header="0.30000000000000032" footer="0.30000000000000032"/>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3</xdr:row>
      <xdr:rowOff>200025</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23925"/>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880675"/>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7099875"/>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576250"/>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224075"/>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220527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108</xdr:row>
      <xdr:rowOff>47625</xdr:rowOff>
    </xdr:to>
    <xdr:pic>
      <xdr:nvPicPr>
        <xdr:cNvPr id="3079" name="Picture 3"/>
        <xdr:cNvPicPr preferRelativeResize="1">
          <a:picLocks noChangeAspect="1"/>
        </xdr:cNvPicPr>
      </xdr:nvPicPr>
      <xdr:blipFill>
        <a:blip r:embed="rId7"/>
        <a:stretch>
          <a:fillRect/>
        </a:stretch>
      </xdr:blipFill>
      <xdr:spPr bwMode="auto">
        <a:xfrm>
          <a:off x="609600" y="24936450"/>
          <a:ext cx="4133850" cy="35623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85</xdr:row>
      <xdr:rowOff>76200</xdr:rowOff>
    </xdr:to>
    <xdr:pic>
      <xdr:nvPicPr>
        <xdr:cNvPr id="3080" name="Picture 5"/>
        <xdr:cNvPicPr preferRelativeResize="1">
          <a:picLocks noChangeAspect="1"/>
        </xdr:cNvPicPr>
      </xdr:nvPicPr>
      <xdr:blipFill>
        <a:blip r:embed="rId8"/>
        <a:stretch>
          <a:fillRect/>
        </a:stretch>
      </xdr:blipFill>
      <xdr:spPr bwMode="auto">
        <a:xfrm>
          <a:off x="57150" y="18764250"/>
          <a:ext cx="5772150" cy="36671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62</xdr:row>
      <xdr:rowOff>171450</xdr:rowOff>
    </xdr:to>
    <xdr:pic>
      <xdr:nvPicPr>
        <xdr:cNvPr id="3081" name="Picture 6"/>
        <xdr:cNvPicPr preferRelativeResize="1">
          <a:picLocks noChangeAspect="1"/>
        </xdr:cNvPicPr>
      </xdr:nvPicPr>
      <xdr:blipFill>
        <a:blip r:embed="rId9"/>
        <a:stretch>
          <a:fillRect/>
        </a:stretch>
      </xdr:blipFill>
      <xdr:spPr bwMode="auto">
        <a:xfrm>
          <a:off x="314325" y="15220950"/>
          <a:ext cx="4810125" cy="29241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21</xdr:row>
      <xdr:rowOff>152400</xdr:rowOff>
    </xdr:from>
    <xdr:to>
      <xdr:col>7</xdr:col>
      <xdr:colOff>76200</xdr:colOff>
      <xdr:row>40</xdr:row>
      <xdr:rowOff>171450</xdr:rowOff>
    </xdr:to>
    <xdr:graphicFrame macro="">
      <xdr:nvGraphicFramePr>
        <xdr:cNvPr id="2" name="Chart 1"/>
        <xdr:cNvGraphicFramePr/>
      </xdr:nvGraphicFramePr>
      <xdr:xfrm>
        <a:off x="190500" y="4200525"/>
        <a:ext cx="6962775" cy="3638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53</xdr:row>
      <xdr:rowOff>57150</xdr:rowOff>
    </xdr:from>
    <xdr:to>
      <xdr:col>4</xdr:col>
      <xdr:colOff>133350</xdr:colOff>
      <xdr:row>72</xdr:row>
      <xdr:rowOff>171450</xdr:rowOff>
    </xdr:to>
    <xdr:graphicFrame macro="">
      <xdr:nvGraphicFramePr>
        <xdr:cNvPr id="4" name="Chart 3"/>
        <xdr:cNvGraphicFramePr/>
      </xdr:nvGraphicFramePr>
      <xdr:xfrm>
        <a:off x="219075" y="13496925"/>
        <a:ext cx="8315325" cy="37338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0</xdr:rowOff>
    </xdr:from>
    <xdr:to>
      <xdr:col>6</xdr:col>
      <xdr:colOff>0</xdr:colOff>
      <xdr:row>22</xdr:row>
      <xdr:rowOff>76200</xdr:rowOff>
    </xdr:to>
    <xdr:graphicFrame macro="">
      <xdr:nvGraphicFramePr>
        <xdr:cNvPr id="3" name="Chart 2"/>
        <xdr:cNvGraphicFramePr/>
      </xdr:nvGraphicFramePr>
      <xdr:xfrm>
        <a:off x="66675" y="1524000"/>
        <a:ext cx="6505575" cy="27432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58</xdr:row>
      <xdr:rowOff>152400</xdr:rowOff>
    </xdr:from>
    <xdr:to>
      <xdr:col>5</xdr:col>
      <xdr:colOff>752475</xdr:colOff>
      <xdr:row>73</xdr:row>
      <xdr:rowOff>38100</xdr:rowOff>
    </xdr:to>
    <xdr:graphicFrame macro="">
      <xdr:nvGraphicFramePr>
        <xdr:cNvPr id="5" name="Chart 4"/>
        <xdr:cNvGraphicFramePr/>
      </xdr:nvGraphicFramePr>
      <xdr:xfrm>
        <a:off x="57150" y="11201400"/>
        <a:ext cx="6505575" cy="2743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nmaurice\Downloads\A%20garder\Almost%20finalized\RAP%20Thailand%2029.10.2012_modifmar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GGO benefits"/>
      <sheetName val="CHILD "/>
      <sheetName val="MAT "/>
      <sheetName val="SICKNESS"/>
      <sheetName val="WORKING AGE"/>
      <sheetName val="PENS"/>
      <sheetName val="DIS"/>
      <sheetName val="HEALTH"/>
      <sheetName val="GGO(BS)"/>
      <sheetName val="Sheet1"/>
    </sheetNames>
    <sheetDataSet>
      <sheetData sheetId="0" refreshError="1"/>
      <sheetData sheetId="1" refreshError="1"/>
      <sheetData sheetId="2" refreshError="1">
        <row r="153">
          <cell r="B153">
            <v>101.335</v>
          </cell>
          <cell r="H153">
            <v>116.5087805699484</v>
          </cell>
          <cell r="I153">
            <v>117.9509165857338</v>
          </cell>
          <cell r="J153">
            <v>120.2153132859702</v>
          </cell>
          <cell r="K153">
            <v>123.52730190629127</v>
          </cell>
          <cell r="L153">
            <v>127.66011849535298</v>
          </cell>
          <cell r="M153">
            <v>132.4367277508853</v>
          </cell>
          <cell r="N153">
            <v>137.44053173641788</v>
          </cell>
          <cell r="O153">
            <v>142.39901432277958</v>
          </cell>
          <cell r="P153">
            <v>147.1624137412983</v>
          </cell>
          <cell r="Q153">
            <v>152.0696705089451</v>
          </cell>
        </row>
        <row r="154">
          <cell r="H154">
            <v>110.12358712989503</v>
          </cell>
          <cell r="I154">
            <v>110.75359743484208</v>
          </cell>
          <cell r="J154">
            <v>112.16340046701582</v>
          </cell>
          <cell r="K154">
            <v>114.35534710259965</v>
          </cell>
          <cell r="L154">
            <v>117.54463924191876</v>
          </cell>
          <cell r="M154">
            <v>121.51637856213156</v>
          </cell>
          <cell r="N154">
            <v>126.10270063328444</v>
          </cell>
          <cell r="O154">
            <v>130.90732659301406</v>
          </cell>
          <cell r="P154">
            <v>135.67075279635347</v>
          </cell>
          <cell r="Q154">
            <v>140.25015426033588</v>
          </cell>
        </row>
        <row r="155">
          <cell r="H155">
            <v>103.56722215978755</v>
          </cell>
          <cell r="I155">
            <v>104.1706175302339</v>
          </cell>
          <cell r="J155">
            <v>104.80171559372897</v>
          </cell>
          <cell r="K155">
            <v>106.1704558112281</v>
          </cell>
          <cell r="L155">
            <v>108.27979601006525</v>
          </cell>
          <cell r="M155">
            <v>111.33426598257645</v>
          </cell>
          <cell r="N155">
            <v>115.13110977392469</v>
          </cell>
          <cell r="O155">
            <v>119.51186606050868</v>
          </cell>
          <cell r="P155">
            <v>124.1013217302823</v>
          </cell>
          <cell r="Q155">
            <v>128.65351861830166</v>
          </cell>
        </row>
        <row r="156">
          <cell r="H156">
            <v>95.94955265753919</v>
          </cell>
          <cell r="I156">
            <v>97.44109752803212</v>
          </cell>
          <cell r="J156">
            <v>98.03985550386366</v>
          </cell>
          <cell r="K156">
            <v>98.66427088793407</v>
          </cell>
          <cell r="L156">
            <v>99.98295481119673</v>
          </cell>
          <cell r="M156">
            <v>101.99932606825844</v>
          </cell>
          <cell r="N156">
            <v>104.90671105672588</v>
          </cell>
          <cell r="O156">
            <v>108.51474404564848</v>
          </cell>
          <cell r="P156">
            <v>112.67457705028426</v>
          </cell>
          <cell r="Q156">
            <v>117.0327719028071</v>
          </cell>
        </row>
        <row r="157">
          <cell r="H157">
            <v>86.79203577213634</v>
          </cell>
          <cell r="I157">
            <v>89.74150265584572</v>
          </cell>
          <cell r="J157">
            <v>91.16297316566559</v>
          </cell>
          <cell r="K157">
            <v>91.74907957735184</v>
          </cell>
          <cell r="L157">
            <v>92.35888069553864</v>
          </cell>
          <cell r="M157">
            <v>93.6184631184224</v>
          </cell>
          <cell r="N157">
            <v>95.53155615272205</v>
          </cell>
          <cell r="O157">
            <v>98.27977881126813</v>
          </cell>
          <cell r="P157">
            <v>101.68536408287572</v>
          </cell>
          <cell r="Q157">
            <v>105.60925703559225</v>
          </cell>
        </row>
        <row r="158">
          <cell r="H158">
            <v>76.64745086892216</v>
          </cell>
          <cell r="I158">
            <v>80.65396390769772</v>
          </cell>
          <cell r="J158">
            <v>83.4160064434965</v>
          </cell>
          <cell r="K158">
            <v>84.75824667854349</v>
          </cell>
          <cell r="L158">
            <v>85.32375623746078</v>
          </cell>
          <cell r="M158">
            <v>85.91107177888036</v>
          </cell>
          <cell r="N158">
            <v>87.10273249026125</v>
          </cell>
          <cell r="O158">
            <v>88.90262699974393</v>
          </cell>
          <cell r="P158">
            <v>91.48021003589551</v>
          </cell>
          <cell r="Q158">
            <v>94.67047003579805</v>
          </cell>
        </row>
        <row r="159">
          <cell r="H159">
            <v>66.4809417936159</v>
          </cell>
          <cell r="I159">
            <v>70.72530278452643</v>
          </cell>
          <cell r="J159">
            <v>74.43768705708398</v>
          </cell>
          <cell r="K159">
            <v>77.0024116252847</v>
          </cell>
          <cell r="L159">
            <v>78.25687595620191</v>
          </cell>
          <cell r="M159">
            <v>78.79416286565883</v>
          </cell>
          <cell r="N159">
            <v>79.35143253819814</v>
          </cell>
          <cell r="O159">
            <v>80.46686306831113</v>
          </cell>
          <cell r="P159">
            <v>82.14435510048531</v>
          </cell>
          <cell r="Q159">
            <v>84.54080474005276</v>
          </cell>
        </row>
        <row r="160">
          <cell r="H160">
            <v>57.062670099495655</v>
          </cell>
          <cell r="I160">
            <v>60.869889636436184</v>
          </cell>
          <cell r="J160">
            <v>64.76573298508964</v>
          </cell>
          <cell r="K160">
            <v>68.17526222109599</v>
          </cell>
          <cell r="L160">
            <v>70.5342715497163</v>
          </cell>
          <cell r="M160">
            <v>71.69333468959638</v>
          </cell>
          <cell r="N160">
            <v>72.1953632795128</v>
          </cell>
          <cell r="O160">
            <v>72.7156093568911</v>
          </cell>
          <cell r="P160">
            <v>73.74732141577846</v>
          </cell>
          <cell r="Q160">
            <v>75.29427375615136</v>
          </cell>
        </row>
        <row r="161">
          <cell r="H161">
            <v>48.41583034007065</v>
          </cell>
          <cell r="I161">
            <v>51.80322375396181</v>
          </cell>
          <cell r="J161">
            <v>55.26399808849845</v>
          </cell>
          <cell r="K161">
            <v>58.80568029206863</v>
          </cell>
          <cell r="L161">
            <v>61.90620420479737</v>
          </cell>
          <cell r="M161">
            <v>64.05309302272846</v>
          </cell>
          <cell r="N161">
            <v>65.11041965058831</v>
          </cell>
          <cell r="O161">
            <v>65.5710405612671</v>
          </cell>
          <cell r="P161">
            <v>66.04816681315354</v>
          </cell>
          <cell r="Q161">
            <v>66.9898561104934</v>
          </cell>
        </row>
        <row r="162">
          <cell r="H162">
            <v>40.837239641799705</v>
          </cell>
          <cell r="I162">
            <v>43.54475904263138</v>
          </cell>
          <cell r="J162">
            <v>46.59132445975926</v>
          </cell>
          <cell r="K162">
            <v>49.70388528421672</v>
          </cell>
          <cell r="L162">
            <v>52.889211163429835</v>
          </cell>
          <cell r="M162">
            <v>55.6777614943316</v>
          </cell>
          <cell r="N162">
            <v>57.60862116398241</v>
          </cell>
          <cell r="O162">
            <v>58.559540269820026</v>
          </cell>
          <cell r="P162">
            <v>58.97378930678438</v>
          </cell>
          <cell r="Q162">
            <v>59.40288327143136</v>
          </cell>
        </row>
        <row r="163">
          <cell r="H163">
            <v>34.21649215940262</v>
          </cell>
          <cell r="I163">
            <v>36.35515074553192</v>
          </cell>
          <cell r="J163">
            <v>38.76185450288688</v>
          </cell>
          <cell r="K163">
            <v>41.46997920194297</v>
          </cell>
          <cell r="L163">
            <v>44.23644111121836</v>
          </cell>
          <cell r="M163">
            <v>47.06726289221772</v>
          </cell>
          <cell r="N163">
            <v>49.544622454566934</v>
          </cell>
          <cell r="O163">
            <v>51.25851194765845</v>
          </cell>
          <cell r="P163">
            <v>52.100362724816776</v>
          </cell>
          <cell r="Q163">
            <v>52.46473478582208</v>
          </cell>
        </row>
        <row r="164">
          <cell r="H164">
            <v>28.029113251065198</v>
          </cell>
          <cell r="I164">
            <v>30.12281986331117</v>
          </cell>
          <cell r="J164">
            <v>31.999210719830764</v>
          </cell>
          <cell r="K164">
            <v>34.11090159472253</v>
          </cell>
          <cell r="L164">
            <v>36.487143466106865</v>
          </cell>
          <cell r="M164">
            <v>38.91397459286068</v>
          </cell>
          <cell r="N164">
            <v>41.39668860219447</v>
          </cell>
          <cell r="O164">
            <v>43.56786063981325</v>
          </cell>
          <cell r="P164">
            <v>45.067190853969315</v>
          </cell>
          <cell r="Q164">
            <v>45.79959981281074</v>
          </cell>
        </row>
        <row r="165">
          <cell r="H165">
            <v>22.278728353064018</v>
          </cell>
          <cell r="I165">
            <v>24.377049023169302</v>
          </cell>
          <cell r="J165">
            <v>26.18965273713626</v>
          </cell>
          <cell r="K165">
            <v>27.812442595436757</v>
          </cell>
          <cell r="L165">
            <v>29.638898998409093</v>
          </cell>
          <cell r="M165">
            <v>31.694276583314483</v>
          </cell>
          <cell r="N165">
            <v>33.79260372743726</v>
          </cell>
          <cell r="O165">
            <v>35.938471459001015</v>
          </cell>
          <cell r="P165">
            <v>37.812979629252744</v>
          </cell>
          <cell r="Q165">
            <v>39.103753149425955</v>
          </cell>
        </row>
        <row r="166">
          <cell r="H166">
            <v>17.50027271735285</v>
          </cell>
          <cell r="I166">
            <v>19.12076716317054</v>
          </cell>
          <cell r="J166">
            <v>20.912363176364543</v>
          </cell>
          <cell r="K166">
            <v>22.457610270467892</v>
          </cell>
          <cell r="L166">
            <v>23.839068861115614</v>
          </cell>
          <cell r="M166">
            <v>25.39410519344401</v>
          </cell>
          <cell r="N166">
            <v>27.144167847616817</v>
          </cell>
          <cell r="O166">
            <v>28.92984861648709</v>
          </cell>
          <cell r="P166">
            <v>30.755071204420457</v>
          </cell>
          <cell r="Q166">
            <v>32.34702354967856</v>
          </cell>
        </row>
        <row r="167">
          <cell r="H167">
            <v>13.80629375665188</v>
          </cell>
          <cell r="I167">
            <v>14.804815911190168</v>
          </cell>
          <cell r="J167">
            <v>16.166331572815867</v>
          </cell>
          <cell r="K167">
            <v>17.671093716141545</v>
          </cell>
          <cell r="L167">
            <v>18.966356170919507</v>
          </cell>
          <cell r="M167">
            <v>20.122193844287597</v>
          </cell>
          <cell r="N167">
            <v>21.423480471354832</v>
          </cell>
          <cell r="O167">
            <v>22.888107684332358</v>
          </cell>
          <cell r="P167">
            <v>24.381516616792734</v>
          </cell>
          <cell r="Q167">
            <v>25.90700749840992</v>
          </cell>
        </row>
        <row r="168">
          <cell r="H168">
            <v>11.005910463461403</v>
          </cell>
          <cell r="I168">
            <v>11.498587906165081</v>
          </cell>
          <cell r="J168">
            <v>12.32129031686905</v>
          </cell>
          <cell r="K168">
            <v>13.444916058950517</v>
          </cell>
          <cell r="L168">
            <v>14.686245599084456</v>
          </cell>
          <cell r="M168">
            <v>15.75211924398263</v>
          </cell>
          <cell r="N168">
            <v>16.701090909962616</v>
          </cell>
          <cell r="O168">
            <v>17.7697113991748</v>
          </cell>
          <cell r="P168">
            <v>18.972616135626335</v>
          </cell>
          <cell r="Q168">
            <v>20.198119560214266</v>
          </cell>
        </row>
        <row r="169">
          <cell r="H169">
            <v>8.816073375925546</v>
          </cell>
          <cell r="I169">
            <v>9.012186637825184</v>
          </cell>
          <cell r="J169">
            <v>9.407406775640819</v>
          </cell>
          <cell r="K169">
            <v>10.071913558093529</v>
          </cell>
          <cell r="L169">
            <v>10.981281905333436</v>
          </cell>
          <cell r="M169">
            <v>11.985419974553837</v>
          </cell>
          <cell r="N169">
            <v>12.845085712915282</v>
          </cell>
          <cell r="O169">
            <v>13.608369426829668</v>
          </cell>
          <cell r="P169">
            <v>14.46812446026998</v>
          </cell>
          <cell r="Q169">
            <v>15.436071272307926</v>
          </cell>
        </row>
        <row r="170">
          <cell r="H170">
            <v>7.000891344555625</v>
          </cell>
          <cell r="I170">
            <v>7.087611445625231</v>
          </cell>
          <cell r="J170">
            <v>7.237853937567511</v>
          </cell>
          <cell r="K170">
            <v>7.547710032426777</v>
          </cell>
          <cell r="L170">
            <v>8.072966544173315</v>
          </cell>
          <cell r="M170">
            <v>8.793461566833235</v>
          </cell>
          <cell r="N170">
            <v>9.58859828573358</v>
          </cell>
          <cell r="O170">
            <v>10.2669842947938</v>
          </cell>
          <cell r="P170">
            <v>10.86737431678101</v>
          </cell>
          <cell r="Q170">
            <v>11.543877113148735</v>
          </cell>
        </row>
        <row r="171">
          <cell r="H171">
            <v>5.415006560725726</v>
          </cell>
          <cell r="I171">
            <v>5.517359335635014</v>
          </cell>
          <cell r="J171">
            <v>5.579114604444084</v>
          </cell>
          <cell r="K171">
            <v>5.690820759418394</v>
          </cell>
          <cell r="L171">
            <v>5.927775165426733</v>
          </cell>
          <cell r="M171">
            <v>6.333332606075547</v>
          </cell>
          <cell r="N171">
            <v>6.891160620151888</v>
          </cell>
          <cell r="O171">
            <v>7.506392603706671</v>
          </cell>
          <cell r="P171">
            <v>8.029205461313468</v>
          </cell>
          <cell r="Q171">
            <v>8.490187975533651</v>
          </cell>
        </row>
        <row r="172">
          <cell r="H172">
            <v>4.0086245647254835</v>
          </cell>
          <cell r="I172">
            <v>4.176412114020145</v>
          </cell>
          <cell r="J172">
            <v>4.249664785084769</v>
          </cell>
          <cell r="K172">
            <v>4.291622771285765</v>
          </cell>
          <cell r="L172">
            <v>4.371970401018878</v>
          </cell>
          <cell r="M172">
            <v>4.548337672570409</v>
          </cell>
          <cell r="N172">
            <v>4.853600601697668</v>
          </cell>
          <cell r="O172">
            <v>5.274805741849562</v>
          </cell>
          <cell r="P172">
            <v>5.7390348348858495</v>
          </cell>
          <cell r="Q172">
            <v>6.131748526292594</v>
          </cell>
        </row>
        <row r="173">
          <cell r="H173">
            <v>2.8139589815261807</v>
          </cell>
          <cell r="I173">
            <v>3.0201600187563016</v>
          </cell>
          <cell r="J173">
            <v>3.141865903360492</v>
          </cell>
          <cell r="K173">
            <v>3.1923026387872033</v>
          </cell>
          <cell r="L173">
            <v>3.219220189193134</v>
          </cell>
          <cell r="M173">
            <v>3.2749159307448386</v>
          </cell>
          <cell r="N173">
            <v>3.402380627449377</v>
          </cell>
          <cell r="O173">
            <v>3.6258880464270735</v>
          </cell>
          <cell r="P173">
            <v>3.9354044206740575</v>
          </cell>
          <cell r="Q173">
            <v>4.276280686217878</v>
          </cell>
        </row>
        <row r="174">
          <cell r="H174">
            <v>1.8845958960126699</v>
          </cell>
          <cell r="I174">
            <v>2.066835121064911</v>
          </cell>
          <cell r="J174">
            <v>2.2146099002864115</v>
          </cell>
          <cell r="K174">
            <v>2.3001229425271803</v>
          </cell>
          <cell r="L174">
            <v>2.3333492276782914</v>
          </cell>
          <cell r="M174">
            <v>2.3493846015834414</v>
          </cell>
          <cell r="N174">
            <v>2.386416043121154</v>
          </cell>
          <cell r="O174">
            <v>2.475629711390987</v>
          </cell>
          <cell r="P174">
            <v>2.6344357695060854</v>
          </cell>
          <cell r="Q174">
            <v>2.855263164540067</v>
          </cell>
        </row>
        <row r="175">
          <cell r="H175">
            <v>1.2814404929623422</v>
          </cell>
          <cell r="I175">
            <v>1.3464507035643933</v>
          </cell>
          <cell r="J175">
            <v>1.4739575496199002</v>
          </cell>
          <cell r="K175">
            <v>1.5765283463560733</v>
          </cell>
          <cell r="L175">
            <v>1.6345517028380743</v>
          </cell>
          <cell r="M175">
            <v>1.65534045262528</v>
          </cell>
          <cell r="N175">
            <v>1.663940825784685</v>
          </cell>
          <cell r="O175">
            <v>1.6874139662173908</v>
          </cell>
          <cell r="P175">
            <v>1.7477037274336102</v>
          </cell>
          <cell r="Q175">
            <v>1.8569094771389232</v>
          </cell>
        </row>
        <row r="176">
          <cell r="H176">
            <v>1.059752263678603</v>
          </cell>
          <cell r="I176">
            <v>0.8883408075851146</v>
          </cell>
          <cell r="J176">
            <v>0.9315446355238713</v>
          </cell>
          <cell r="K176">
            <v>1.0177715504074527</v>
          </cell>
          <cell r="L176">
            <v>1.0865217615002294</v>
          </cell>
          <cell r="M176">
            <v>1.1244107737341338</v>
          </cell>
          <cell r="N176">
            <v>1.1366348544635807</v>
          </cell>
          <cell r="O176">
            <v>1.140501145753605</v>
          </cell>
          <cell r="P176">
            <v>1.1545690942917217</v>
          </cell>
          <cell r="Q176">
            <v>1.1937740779252048</v>
          </cell>
        </row>
        <row r="177">
          <cell r="H177">
            <v>1.2575764279232042</v>
          </cell>
          <cell r="I177">
            <v>0.7108845064690004</v>
          </cell>
          <cell r="J177">
            <v>0.5946040189340466</v>
          </cell>
          <cell r="K177">
            <v>0.622195915896084</v>
          </cell>
          <cell r="L177">
            <v>0.6783749919756548</v>
          </cell>
          <cell r="M177">
            <v>0.7227263372777717</v>
          </cell>
          <cell r="N177">
            <v>0.7464409431115112</v>
          </cell>
          <cell r="O177">
            <v>0.7530862714353491</v>
          </cell>
          <cell r="P177">
            <v>0.7542066827767671</v>
          </cell>
          <cell r="Q177">
            <v>0.7620831686990092</v>
          </cell>
        </row>
        <row r="178">
          <cell r="H178">
            <v>2.507711455311769</v>
          </cell>
          <cell r="I178">
            <v>2.3017288475472073</v>
          </cell>
          <cell r="J178">
            <v>1.8373345460520087</v>
          </cell>
          <cell r="K178">
            <v>1.4798216615845732</v>
          </cell>
          <cell r="L178">
            <v>1.2762246247785776</v>
          </cell>
          <cell r="M178">
            <v>1.1841417896317514</v>
          </cell>
          <cell r="N178">
            <v>1.1527680649476828</v>
          </cell>
          <cell r="O178">
            <v>1.1457473453491773</v>
          </cell>
          <cell r="P178">
            <v>1.143184980443381</v>
          </cell>
          <cell r="Q178">
            <v>1.1400346325365927</v>
          </cell>
        </row>
        <row r="260">
          <cell r="B260">
            <v>133.887</v>
          </cell>
          <cell r="C260">
            <v>133.219</v>
          </cell>
          <cell r="D260">
            <v>153.564</v>
          </cell>
          <cell r="E260">
            <v>152.235</v>
          </cell>
          <cell r="G260">
            <v>150.4097791396122</v>
          </cell>
          <cell r="H260">
            <v>150.47323605723497</v>
          </cell>
        </row>
        <row r="261">
          <cell r="B261">
            <v>111.193</v>
          </cell>
          <cell r="C261">
            <v>120.899</v>
          </cell>
          <cell r="D261">
            <v>119.65</v>
          </cell>
          <cell r="E261">
            <v>135.308</v>
          </cell>
          <cell r="G261">
            <v>144.96415853696973</v>
          </cell>
          <cell r="H261">
            <v>145.25827990817496</v>
          </cell>
        </row>
        <row r="262">
          <cell r="B262">
            <v>85.075</v>
          </cell>
          <cell r="C262">
            <v>91.27</v>
          </cell>
          <cell r="D262">
            <v>92.163</v>
          </cell>
          <cell r="E262">
            <v>91.302</v>
          </cell>
          <cell r="G262">
            <v>137.32807198691305</v>
          </cell>
          <cell r="H262">
            <v>139.43480764976871</v>
          </cell>
        </row>
        <row r="263">
          <cell r="B263">
            <v>110.981</v>
          </cell>
          <cell r="C263">
            <v>115.449</v>
          </cell>
          <cell r="D263">
            <v>112.622</v>
          </cell>
          <cell r="E263">
            <v>124.624</v>
          </cell>
          <cell r="G263">
            <v>126.59488829211176</v>
          </cell>
          <cell r="H263">
            <v>131.49315907897636</v>
          </cell>
        </row>
        <row r="264">
          <cell r="B264">
            <v>47.43</v>
          </cell>
          <cell r="C264">
            <v>64.049</v>
          </cell>
          <cell r="D264">
            <v>65.46</v>
          </cell>
          <cell r="E264">
            <v>69.136</v>
          </cell>
          <cell r="G264">
            <v>113.67894540925221</v>
          </cell>
          <cell r="H264">
            <v>120.60433002633667</v>
          </cell>
        </row>
        <row r="265">
          <cell r="B265">
            <v>77.664</v>
          </cell>
          <cell r="C265">
            <v>81.496</v>
          </cell>
          <cell r="D265">
            <v>99.548</v>
          </cell>
          <cell r="E265">
            <v>109.062</v>
          </cell>
          <cell r="G265">
            <v>100.26357969488656</v>
          </cell>
          <cell r="H265">
            <v>107.69072386781862</v>
          </cell>
        </row>
        <row r="266">
          <cell r="B266">
            <v>38.763</v>
          </cell>
          <cell r="C266">
            <v>37.438</v>
          </cell>
          <cell r="D266">
            <v>46.359</v>
          </cell>
          <cell r="E266">
            <v>65.663</v>
          </cell>
          <cell r="G266">
            <v>87.71713475034866</v>
          </cell>
          <cell r="H266">
            <v>94.38911637340108</v>
          </cell>
        </row>
        <row r="267">
          <cell r="B267">
            <v>52.394</v>
          </cell>
          <cell r="C267">
            <v>52.151</v>
          </cell>
          <cell r="D267">
            <v>49.691</v>
          </cell>
          <cell r="E267">
            <v>57.676</v>
          </cell>
          <cell r="G267">
            <v>76.07092793888434</v>
          </cell>
          <cell r="H267">
            <v>82.00689533582641</v>
          </cell>
        </row>
        <row r="268">
          <cell r="B268">
            <v>49.969</v>
          </cell>
          <cell r="C268">
            <v>45.918</v>
          </cell>
          <cell r="D268">
            <v>54.467</v>
          </cell>
          <cell r="E268">
            <v>49.201</v>
          </cell>
          <cell r="G268">
            <v>65.86976665288775</v>
          </cell>
          <cell r="H268">
            <v>70.57482330468926</v>
          </cell>
        </row>
        <row r="269">
          <cell r="B269">
            <v>41.855</v>
          </cell>
          <cell r="C269">
            <v>55.155</v>
          </cell>
          <cell r="D269">
            <v>52.779</v>
          </cell>
          <cell r="E269">
            <v>55.83</v>
          </cell>
          <cell r="G269">
            <v>56.924343731595656</v>
          </cell>
          <cell r="H269">
            <v>60.593996745816646</v>
          </cell>
        </row>
        <row r="270">
          <cell r="B270">
            <v>44.073</v>
          </cell>
          <cell r="C270">
            <v>40.719</v>
          </cell>
          <cell r="D270">
            <v>47.04</v>
          </cell>
          <cell r="E270">
            <v>53.007</v>
          </cell>
          <cell r="G270">
            <v>48.35260273488934</v>
          </cell>
          <cell r="H270">
            <v>51.87629029059352</v>
          </cell>
        </row>
        <row r="271">
          <cell r="B271">
            <v>30.251</v>
          </cell>
          <cell r="C271">
            <v>32.327</v>
          </cell>
          <cell r="D271">
            <v>34.851</v>
          </cell>
          <cell r="E271">
            <v>36.106</v>
          </cell>
          <cell r="G271">
            <v>40.07988642190234</v>
          </cell>
          <cell r="H271">
            <v>43.611391624343334</v>
          </cell>
        </row>
        <row r="272">
          <cell r="B272">
            <v>28.759</v>
          </cell>
          <cell r="C272">
            <v>28.674</v>
          </cell>
          <cell r="D272">
            <v>26.857</v>
          </cell>
          <cell r="E272">
            <v>26.65</v>
          </cell>
          <cell r="G272">
            <v>32.967459634998264</v>
          </cell>
          <cell r="H272">
            <v>35.740786775477595</v>
          </cell>
        </row>
        <row r="273">
          <cell r="B273">
            <v>23.757</v>
          </cell>
          <cell r="C273">
            <v>22.69</v>
          </cell>
          <cell r="D273">
            <v>17.051</v>
          </cell>
          <cell r="E273">
            <v>21.607</v>
          </cell>
          <cell r="G273">
            <v>27.215968658179733</v>
          </cell>
          <cell r="H273">
            <v>29.03328164323131</v>
          </cell>
        </row>
        <row r="274">
          <cell r="B274">
            <v>15.359</v>
          </cell>
          <cell r="C274">
            <v>15.972</v>
          </cell>
          <cell r="D274">
            <v>17.903</v>
          </cell>
          <cell r="E274">
            <v>17.432</v>
          </cell>
          <cell r="G274">
            <v>22.613252432236713</v>
          </cell>
          <cell r="H274">
            <v>23.642406721248413</v>
          </cell>
        </row>
        <row r="275">
          <cell r="B275">
            <v>17.279</v>
          </cell>
          <cell r="C275">
            <v>17.961</v>
          </cell>
          <cell r="D275">
            <v>21.877</v>
          </cell>
          <cell r="E275">
            <v>20.024</v>
          </cell>
          <cell r="G275">
            <v>18.8067954012669</v>
          </cell>
          <cell r="H275">
            <v>19.352791889490113</v>
          </cell>
        </row>
        <row r="276">
          <cell r="B276">
            <v>8.741</v>
          </cell>
          <cell r="C276">
            <v>7.036</v>
          </cell>
          <cell r="D276">
            <v>8.573</v>
          </cell>
          <cell r="E276">
            <v>10.712</v>
          </cell>
          <cell r="G276">
            <v>15.49361889055348</v>
          </cell>
          <cell r="H276">
            <v>15.835723764039823</v>
          </cell>
        </row>
        <row r="277">
          <cell r="B277">
            <v>10.362</v>
          </cell>
          <cell r="C277">
            <v>9.372</v>
          </cell>
          <cell r="D277">
            <v>7.746</v>
          </cell>
          <cell r="E277">
            <v>12.456</v>
          </cell>
          <cell r="G277">
            <v>12.486330281479196</v>
          </cell>
          <cell r="H277">
            <v>12.818167154393368</v>
          </cell>
        </row>
        <row r="278">
          <cell r="B278">
            <v>9.738</v>
          </cell>
          <cell r="C278">
            <v>10.282</v>
          </cell>
          <cell r="D278">
            <v>10.242</v>
          </cell>
          <cell r="E278">
            <v>10.057</v>
          </cell>
          <cell r="G278">
            <v>9.729635305254817</v>
          </cell>
          <cell r="H278">
            <v>10.135510154259125</v>
          </cell>
        </row>
        <row r="279">
          <cell r="B279">
            <v>8.315</v>
          </cell>
          <cell r="C279">
            <v>7.67</v>
          </cell>
          <cell r="D279">
            <v>7.843</v>
          </cell>
          <cell r="E279">
            <v>8.967</v>
          </cell>
          <cell r="G279">
            <v>7.2920818960549</v>
          </cell>
          <cell r="H279">
            <v>7.737752210792766</v>
          </cell>
        </row>
        <row r="280">
          <cell r="B280">
            <v>4.833</v>
          </cell>
          <cell r="C280">
            <v>5.363</v>
          </cell>
          <cell r="D280">
            <v>8.095</v>
          </cell>
          <cell r="E280">
            <v>7.524</v>
          </cell>
          <cell r="G280">
            <v>5.283498722375261</v>
          </cell>
          <cell r="H280">
            <v>5.673208385971991</v>
          </cell>
        </row>
        <row r="281">
          <cell r="B281">
            <v>6.304</v>
          </cell>
          <cell r="C281">
            <v>4.922</v>
          </cell>
          <cell r="D281">
            <v>6.811</v>
          </cell>
          <cell r="E281">
            <v>6.687</v>
          </cell>
          <cell r="G281">
            <v>3.8384828933044814</v>
          </cell>
          <cell r="H281">
            <v>4.015029355400063</v>
          </cell>
        </row>
        <row r="282">
          <cell r="B282">
            <v>1.993</v>
          </cell>
          <cell r="C282">
            <v>4.539</v>
          </cell>
          <cell r="D282">
            <v>4.568</v>
          </cell>
          <cell r="E282">
            <v>4.774</v>
          </cell>
          <cell r="G282">
            <v>3.0998876647953826</v>
          </cell>
          <cell r="H282">
            <v>2.844610655628354</v>
          </cell>
        </row>
        <row r="283">
          <cell r="B283">
            <v>14.295</v>
          </cell>
          <cell r="C283">
            <v>12.448</v>
          </cell>
          <cell r="D283">
            <v>11.294</v>
          </cell>
          <cell r="E283">
            <v>11.429</v>
          </cell>
          <cell r="G283">
            <v>3.202310145936545</v>
          </cell>
          <cell r="H283">
            <v>2.2365609553980863</v>
          </cell>
        </row>
        <row r="284">
          <cell r="B284">
            <v>0</v>
          </cell>
          <cell r="C284">
            <v>0</v>
          </cell>
          <cell r="D284">
            <v>0</v>
          </cell>
          <cell r="E284">
            <v>0</v>
          </cell>
          <cell r="G284">
            <v>4.280347445816542</v>
          </cell>
          <cell r="H284">
            <v>2.2454711202715405</v>
          </cell>
        </row>
        <row r="285">
          <cell r="B285">
            <v>0</v>
          </cell>
          <cell r="C285">
            <v>0</v>
          </cell>
          <cell r="D285">
            <v>0</v>
          </cell>
          <cell r="E285">
            <v>0</v>
          </cell>
          <cell r="G285">
            <v>2.607778631205609</v>
          </cell>
          <cell r="H285">
            <v>4.45603548396545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R164"/>
  <sheetViews>
    <sheetView tabSelected="1" zoomScalePageLayoutView="125" workbookViewId="0" topLeftCell="A1">
      <selection activeCell="A5" sqref="A5"/>
    </sheetView>
  </sheetViews>
  <sheetFormatPr defaultColWidth="9.7109375" defaultRowHeight="15"/>
  <cols>
    <col min="1" max="16384" width="9.7109375" style="12" customWidth="1"/>
  </cols>
  <sheetData>
    <row r="1" ht="26.25">
      <c r="C1" s="13" t="s">
        <v>363</v>
      </c>
    </row>
    <row r="2" spans="3:7" ht="21">
      <c r="C2" s="14" t="s">
        <v>29</v>
      </c>
      <c r="G2" s="15"/>
    </row>
    <row r="3" ht="18.75">
      <c r="C3" s="16" t="s">
        <v>101</v>
      </c>
    </row>
    <row r="4" spans="3:13" ht="18.75">
      <c r="C4" s="16" t="s">
        <v>27</v>
      </c>
      <c r="K4" s="33"/>
      <c r="L4" s="33"/>
      <c r="M4" s="33"/>
    </row>
    <row r="5" spans="11:13" ht="15">
      <c r="K5" s="33"/>
      <c r="L5" s="33"/>
      <c r="M5" s="33"/>
    </row>
    <row r="6" spans="6:13" ht="15">
      <c r="F6" s="7"/>
      <c r="G6" s="349" t="s">
        <v>32</v>
      </c>
      <c r="H6" s="350"/>
      <c r="I6" s="351" t="s">
        <v>100</v>
      </c>
      <c r="K6" s="33"/>
      <c r="L6" s="33"/>
      <c r="M6" s="33"/>
    </row>
    <row r="7" spans="7:13" ht="15">
      <c r="G7" s="349" t="s">
        <v>28</v>
      </c>
      <c r="H7" s="350"/>
      <c r="I7" s="351" t="s">
        <v>104</v>
      </c>
      <c r="K7" s="33"/>
      <c r="L7" s="33"/>
      <c r="M7" s="33"/>
    </row>
    <row r="8" spans="7:13" ht="15">
      <c r="G8" s="349" t="s">
        <v>33</v>
      </c>
      <c r="H8" s="590">
        <v>41565</v>
      </c>
      <c r="I8" s="590"/>
      <c r="K8" s="33"/>
      <c r="L8" s="33"/>
      <c r="M8" s="33"/>
    </row>
    <row r="9" spans="5:9" ht="15">
      <c r="E9" s="7"/>
      <c r="G9" s="349" t="s">
        <v>25</v>
      </c>
      <c r="H9" s="590">
        <v>41605</v>
      </c>
      <c r="I9" s="590"/>
    </row>
    <row r="10" spans="7:9" ht="15">
      <c r="G10" s="349" t="s">
        <v>26</v>
      </c>
      <c r="H10" s="350"/>
      <c r="I10" s="351" t="s">
        <v>199</v>
      </c>
    </row>
    <row r="11" spans="1:3" ht="15">
      <c r="A11" s="11"/>
      <c r="C11" s="17"/>
    </row>
    <row r="12" spans="1:9" ht="21">
      <c r="A12" s="592" t="s">
        <v>65</v>
      </c>
      <c r="B12" s="592"/>
      <c r="C12" s="592"/>
      <c r="D12" s="592"/>
      <c r="E12" s="592"/>
      <c r="F12" s="592"/>
      <c r="G12" s="592"/>
      <c r="H12" s="592"/>
      <c r="I12" s="592"/>
    </row>
    <row r="13" spans="1:3" ht="15">
      <c r="A13" s="11"/>
      <c r="C13" s="17"/>
    </row>
    <row r="14" ht="15">
      <c r="A14" s="18" t="s">
        <v>66</v>
      </c>
    </row>
    <row r="15" ht="15">
      <c r="A15" s="18" t="s">
        <v>67</v>
      </c>
    </row>
    <row r="16" ht="15">
      <c r="A16" s="18" t="s">
        <v>56</v>
      </c>
    </row>
    <row r="17" ht="15">
      <c r="A17" s="18" t="s">
        <v>57</v>
      </c>
    </row>
    <row r="18" ht="15">
      <c r="A18" s="18" t="s">
        <v>58</v>
      </c>
    </row>
    <row r="19" ht="15">
      <c r="A19" s="18" t="s">
        <v>59</v>
      </c>
    </row>
    <row r="20" ht="15">
      <c r="A20" s="12" t="s">
        <v>60</v>
      </c>
    </row>
    <row r="21" ht="15">
      <c r="A21" s="12" t="s">
        <v>61</v>
      </c>
    </row>
    <row r="23" ht="15">
      <c r="A23" s="11" t="s">
        <v>66</v>
      </c>
    </row>
    <row r="24" spans="1:10" ht="75" customHeight="1">
      <c r="A24" s="583" t="s">
        <v>73</v>
      </c>
      <c r="B24" s="583"/>
      <c r="C24" s="583"/>
      <c r="D24" s="583"/>
      <c r="E24" s="583"/>
      <c r="F24" s="583"/>
      <c r="G24" s="583"/>
      <c r="H24" s="583"/>
      <c r="I24" s="583"/>
      <c r="J24" s="19"/>
    </row>
    <row r="25" spans="1:10" ht="15" customHeight="1">
      <c r="A25" s="20"/>
      <c r="B25" s="20"/>
      <c r="C25" s="20"/>
      <c r="D25" s="20"/>
      <c r="E25" s="20"/>
      <c r="F25" s="20"/>
      <c r="G25" s="20"/>
      <c r="H25" s="20"/>
      <c r="I25" s="20"/>
      <c r="J25" s="19"/>
    </row>
    <row r="26" ht="15">
      <c r="A26" s="11" t="s">
        <v>67</v>
      </c>
    </row>
    <row r="27" spans="1:9" ht="90" customHeight="1">
      <c r="A27" s="583" t="s">
        <v>72</v>
      </c>
      <c r="B27" s="583"/>
      <c r="C27" s="583"/>
      <c r="D27" s="583"/>
      <c r="E27" s="583"/>
      <c r="F27" s="583"/>
      <c r="G27" s="583"/>
      <c r="H27" s="583"/>
      <c r="I27" s="583"/>
    </row>
    <row r="28" spans="1:9" ht="15" customHeight="1">
      <c r="A28" s="20"/>
      <c r="B28" s="20"/>
      <c r="C28" s="20"/>
      <c r="D28" s="20"/>
      <c r="E28" s="20"/>
      <c r="F28" s="20"/>
      <c r="G28" s="20"/>
      <c r="H28" s="20"/>
      <c r="I28" s="20"/>
    </row>
    <row r="29" ht="15">
      <c r="A29" s="11" t="s">
        <v>48</v>
      </c>
    </row>
    <row r="30" spans="1:9" ht="15">
      <c r="A30" s="591"/>
      <c r="B30" s="591"/>
      <c r="C30" s="591"/>
      <c r="D30" s="591"/>
      <c r="E30" s="591"/>
      <c r="F30" s="591"/>
      <c r="G30" s="591"/>
      <c r="H30" s="591"/>
      <c r="I30" s="591"/>
    </row>
    <row r="31" ht="15">
      <c r="A31" s="11" t="s">
        <v>49</v>
      </c>
    </row>
    <row r="32" spans="1:9" ht="75" customHeight="1">
      <c r="A32" s="583" t="s">
        <v>68</v>
      </c>
      <c r="B32" s="583"/>
      <c r="C32" s="583"/>
      <c r="D32" s="583"/>
      <c r="E32" s="583"/>
      <c r="F32" s="583"/>
      <c r="G32" s="583"/>
      <c r="H32" s="583"/>
      <c r="I32" s="583"/>
    </row>
    <row r="33" spans="1:9" ht="9.95" customHeight="1">
      <c r="A33" s="21"/>
      <c r="B33" s="21"/>
      <c r="C33" s="21"/>
      <c r="D33" s="21"/>
      <c r="E33" s="21"/>
      <c r="F33" s="21"/>
      <c r="G33" s="21"/>
      <c r="H33" s="21"/>
      <c r="I33" s="21"/>
    </row>
    <row r="34" ht="15">
      <c r="A34" s="3" t="s">
        <v>47</v>
      </c>
    </row>
    <row r="35" spans="1:9" ht="45" customHeight="1">
      <c r="A35" s="580" t="s">
        <v>84</v>
      </c>
      <c r="B35" s="580"/>
      <c r="C35" s="580"/>
      <c r="D35" s="580"/>
      <c r="E35" s="580"/>
      <c r="F35" s="580"/>
      <c r="G35" s="580"/>
      <c r="H35" s="580"/>
      <c r="I35" s="580"/>
    </row>
    <row r="36" spans="1:9" ht="30" customHeight="1">
      <c r="A36" s="580" t="s">
        <v>81</v>
      </c>
      <c r="B36" s="580"/>
      <c r="C36" s="580"/>
      <c r="D36" s="580"/>
      <c r="E36" s="580"/>
      <c r="F36" s="580"/>
      <c r="G36" s="580"/>
      <c r="H36" s="580"/>
      <c r="I36" s="580"/>
    </row>
    <row r="37" spans="1:9" ht="30" customHeight="1">
      <c r="A37" s="587" t="s">
        <v>80</v>
      </c>
      <c r="B37" s="587"/>
      <c r="C37" s="587"/>
      <c r="D37" s="587"/>
      <c r="E37" s="587"/>
      <c r="F37" s="587"/>
      <c r="G37" s="587"/>
      <c r="H37" s="587"/>
      <c r="I37" s="587"/>
    </row>
    <row r="38" spans="1:9" ht="30" customHeight="1">
      <c r="A38" s="580" t="s">
        <v>96</v>
      </c>
      <c r="B38" s="580"/>
      <c r="C38" s="580"/>
      <c r="D38" s="580"/>
      <c r="E38" s="580"/>
      <c r="F38" s="580"/>
      <c r="G38" s="580"/>
      <c r="H38" s="580"/>
      <c r="I38" s="580"/>
    </row>
    <row r="39" spans="1:9" ht="30" customHeight="1">
      <c r="A39" s="589" t="s">
        <v>82</v>
      </c>
      <c r="B39" s="589"/>
      <c r="C39" s="589"/>
      <c r="D39" s="589"/>
      <c r="E39" s="589"/>
      <c r="F39" s="589"/>
      <c r="G39" s="589"/>
      <c r="H39" s="589"/>
      <c r="I39" s="589"/>
    </row>
    <row r="40" spans="1:9" ht="75" customHeight="1">
      <c r="A40" s="586" t="s">
        <v>83</v>
      </c>
      <c r="B40" s="586"/>
      <c r="C40" s="586"/>
      <c r="D40" s="586"/>
      <c r="E40" s="586"/>
      <c r="F40" s="586"/>
      <c r="G40" s="586"/>
      <c r="H40" s="586"/>
      <c r="I40" s="586"/>
    </row>
    <row r="41" spans="1:9" ht="45" customHeight="1">
      <c r="A41" s="588" t="s">
        <v>85</v>
      </c>
      <c r="B41" s="587"/>
      <c r="C41" s="587"/>
      <c r="D41" s="587"/>
      <c r="E41" s="587"/>
      <c r="F41" s="587"/>
      <c r="G41" s="587"/>
      <c r="H41" s="587"/>
      <c r="I41" s="587"/>
    </row>
    <row r="42" spans="1:9" ht="45" customHeight="1">
      <c r="A42" s="585" t="s">
        <v>86</v>
      </c>
      <c r="B42" s="586"/>
      <c r="C42" s="586"/>
      <c r="D42" s="586"/>
      <c r="E42" s="586"/>
      <c r="F42" s="586"/>
      <c r="G42" s="586"/>
      <c r="H42" s="586"/>
      <c r="I42" s="586"/>
    </row>
    <row r="43" spans="1:9" ht="75" customHeight="1">
      <c r="A43" s="585" t="s">
        <v>93</v>
      </c>
      <c r="B43" s="586"/>
      <c r="C43" s="586"/>
      <c r="D43" s="586"/>
      <c r="E43" s="586"/>
      <c r="F43" s="586"/>
      <c r="G43" s="586"/>
      <c r="H43" s="586"/>
      <c r="I43" s="586"/>
    </row>
    <row r="44" ht="9.95" customHeight="1">
      <c r="A44" s="11"/>
    </row>
    <row r="45" s="22" customFormat="1" ht="15">
      <c r="A45" s="23" t="s">
        <v>50</v>
      </c>
    </row>
    <row r="46" s="22" customFormat="1" ht="15">
      <c r="A46" s="24"/>
    </row>
    <row r="65" ht="15">
      <c r="A65" s="11" t="s">
        <v>63</v>
      </c>
    </row>
    <row r="88" ht="15">
      <c r="A88" s="11" t="s">
        <v>64</v>
      </c>
    </row>
    <row r="89" spans="1:9" ht="150" customHeight="1">
      <c r="A89" s="583" t="s">
        <v>95</v>
      </c>
      <c r="B89" s="583"/>
      <c r="C89" s="583"/>
      <c r="D89" s="583"/>
      <c r="E89" s="583"/>
      <c r="F89" s="583"/>
      <c r="G89" s="583"/>
      <c r="H89" s="583"/>
      <c r="I89" s="583"/>
    </row>
    <row r="90" spans="11:18" ht="15">
      <c r="K90" s="25"/>
      <c r="L90" s="25"/>
      <c r="M90" s="25"/>
      <c r="N90" s="25"/>
      <c r="O90" s="25"/>
      <c r="P90" s="25"/>
      <c r="Q90" s="25"/>
      <c r="R90" s="25"/>
    </row>
    <row r="91" spans="11:18" ht="15">
      <c r="K91" s="25"/>
      <c r="L91" s="25"/>
      <c r="M91" s="25"/>
      <c r="N91" s="25"/>
      <c r="O91" s="25"/>
      <c r="P91" s="25"/>
      <c r="Q91" s="25"/>
      <c r="R91" s="25"/>
    </row>
    <row r="92" spans="11:18" ht="15">
      <c r="K92" s="25"/>
      <c r="L92" s="25"/>
      <c r="M92" s="25"/>
      <c r="N92" s="25"/>
      <c r="O92" s="25"/>
      <c r="P92" s="25"/>
      <c r="Q92" s="25"/>
      <c r="R92" s="25"/>
    </row>
    <row r="93" spans="11:18" ht="15">
      <c r="K93" s="25"/>
      <c r="L93" s="25"/>
      <c r="M93" s="25"/>
      <c r="N93" s="25"/>
      <c r="O93" s="25"/>
      <c r="P93" s="25"/>
      <c r="Q93" s="25"/>
      <c r="R93" s="25"/>
    </row>
    <row r="94" spans="11:18" ht="15">
      <c r="K94" s="25"/>
      <c r="L94" s="25"/>
      <c r="M94" s="25"/>
      <c r="N94" s="25"/>
      <c r="O94" s="25"/>
      <c r="P94" s="25"/>
      <c r="Q94" s="25"/>
      <c r="R94" s="25"/>
    </row>
    <row r="95" spans="11:18" ht="15">
      <c r="K95" s="25"/>
      <c r="L95" s="25"/>
      <c r="M95" s="25"/>
      <c r="N95" s="25"/>
      <c r="O95" s="25"/>
      <c r="P95" s="25"/>
      <c r="Q95" s="25"/>
      <c r="R95" s="25"/>
    </row>
    <row r="100" spans="11:18" ht="15">
      <c r="K100" s="25"/>
      <c r="L100" s="25"/>
      <c r="M100" s="25"/>
      <c r="N100" s="25"/>
      <c r="O100" s="25"/>
      <c r="P100" s="25"/>
      <c r="Q100" s="25"/>
      <c r="R100" s="25"/>
    </row>
    <row r="101" spans="11:18" ht="15">
      <c r="K101" s="25"/>
      <c r="L101" s="25"/>
      <c r="M101" s="25"/>
      <c r="N101" s="25"/>
      <c r="O101" s="25"/>
      <c r="P101" s="25"/>
      <c r="Q101" s="25"/>
      <c r="R101" s="25"/>
    </row>
    <row r="102" spans="11:18" ht="15">
      <c r="K102" s="25"/>
      <c r="L102" s="25"/>
      <c r="M102" s="25"/>
      <c r="N102" s="25"/>
      <c r="O102" s="25"/>
      <c r="P102" s="25"/>
      <c r="Q102" s="25"/>
      <c r="R102" s="25"/>
    </row>
    <row r="103" spans="11:18" ht="15">
      <c r="K103" s="25"/>
      <c r="L103" s="25"/>
      <c r="M103" s="25"/>
      <c r="N103" s="25"/>
      <c r="O103" s="25"/>
      <c r="P103" s="25"/>
      <c r="Q103" s="25"/>
      <c r="R103" s="25"/>
    </row>
    <row r="104" spans="11:18" ht="15">
      <c r="K104" s="25"/>
      <c r="L104" s="25"/>
      <c r="M104" s="25"/>
      <c r="N104" s="25"/>
      <c r="O104" s="25"/>
      <c r="P104" s="25"/>
      <c r="Q104" s="25"/>
      <c r="R104" s="25"/>
    </row>
    <row r="105" spans="11:18" ht="15">
      <c r="K105" s="25"/>
      <c r="L105" s="25"/>
      <c r="M105" s="25"/>
      <c r="N105" s="25"/>
      <c r="O105" s="25"/>
      <c r="P105" s="25"/>
      <c r="Q105" s="25"/>
      <c r="R105" s="25"/>
    </row>
    <row r="110" ht="15">
      <c r="A110" s="11" t="s">
        <v>51</v>
      </c>
    </row>
    <row r="111" ht="9.95" customHeight="1">
      <c r="A111" s="11"/>
    </row>
    <row r="112" spans="1:9" ht="15">
      <c r="A112" s="26" t="s">
        <v>41</v>
      </c>
      <c r="I112" s="27"/>
    </row>
    <row r="113" spans="1:9" ht="15">
      <c r="A113" s="3" t="s">
        <v>34</v>
      </c>
      <c r="I113" s="27"/>
    </row>
    <row r="114" spans="1:9" ht="9.95" customHeight="1">
      <c r="A114" s="3"/>
      <c r="I114" s="27"/>
    </row>
    <row r="115" spans="1:9" ht="9.95" customHeight="1">
      <c r="A115" s="3"/>
      <c r="I115" s="27"/>
    </row>
    <row r="116" spans="1:9" ht="15">
      <c r="A116" s="26" t="s">
        <v>42</v>
      </c>
      <c r="I116" s="27"/>
    </row>
    <row r="117" spans="1:9" ht="15">
      <c r="A117" s="3" t="s">
        <v>87</v>
      </c>
      <c r="I117" s="27"/>
    </row>
    <row r="118" spans="1:9" ht="15">
      <c r="A118" s="3" t="s">
        <v>105</v>
      </c>
      <c r="I118" s="27"/>
    </row>
    <row r="119" spans="1:9" ht="15">
      <c r="A119" s="3" t="s">
        <v>38</v>
      </c>
      <c r="I119" s="27"/>
    </row>
    <row r="120" spans="1:9" ht="15">
      <c r="A120" s="3" t="s">
        <v>39</v>
      </c>
      <c r="I120" s="27"/>
    </row>
    <row r="121" spans="1:9" ht="15">
      <c r="A121" s="3" t="s">
        <v>40</v>
      </c>
      <c r="I121" s="27"/>
    </row>
    <row r="122" spans="1:9" ht="9.95" customHeight="1">
      <c r="A122" s="3"/>
      <c r="I122" s="27"/>
    </row>
    <row r="123" spans="1:9" ht="9.95" customHeight="1">
      <c r="A123" s="3"/>
      <c r="I123" s="27"/>
    </row>
    <row r="124" spans="1:9" ht="15">
      <c r="A124" s="26" t="s">
        <v>69</v>
      </c>
      <c r="I124" s="27"/>
    </row>
    <row r="125" spans="1:9" ht="15">
      <c r="A125" s="3" t="s">
        <v>44</v>
      </c>
      <c r="I125" s="27"/>
    </row>
    <row r="126" spans="1:9" ht="15">
      <c r="A126" s="3" t="s">
        <v>46</v>
      </c>
      <c r="I126" s="27"/>
    </row>
    <row r="127" spans="1:9" ht="15">
      <c r="A127" s="3" t="s">
        <v>43</v>
      </c>
      <c r="I127" s="27"/>
    </row>
    <row r="128" spans="1:9" ht="15">
      <c r="A128" s="3" t="s">
        <v>37</v>
      </c>
      <c r="I128" s="27"/>
    </row>
    <row r="129" spans="1:9" ht="15">
      <c r="A129" s="28" t="s">
        <v>35</v>
      </c>
      <c r="I129" s="27"/>
    </row>
    <row r="130" spans="1:9" ht="15">
      <c r="A130" s="3" t="s">
        <v>36</v>
      </c>
      <c r="I130" s="27"/>
    </row>
    <row r="131" spans="1:9" ht="9.95" customHeight="1">
      <c r="A131" s="3"/>
      <c r="I131" s="27"/>
    </row>
    <row r="132" spans="1:9" ht="15">
      <c r="A132" s="26" t="s">
        <v>70</v>
      </c>
      <c r="I132" s="27"/>
    </row>
    <row r="133" spans="1:9" ht="15">
      <c r="A133" s="3" t="s">
        <v>71</v>
      </c>
      <c r="I133" s="27"/>
    </row>
    <row r="134" spans="1:9" ht="9.95" customHeight="1">
      <c r="A134" s="3"/>
      <c r="I134" s="27"/>
    </row>
    <row r="135" spans="1:9" ht="9.95" customHeight="1">
      <c r="A135" s="3"/>
      <c r="I135" s="27"/>
    </row>
    <row r="136" spans="1:9" ht="15">
      <c r="A136" s="26" t="s">
        <v>74</v>
      </c>
      <c r="I136" s="27"/>
    </row>
    <row r="137" spans="1:9" ht="30" customHeight="1">
      <c r="A137" s="580" t="s">
        <v>75</v>
      </c>
      <c r="B137" s="581"/>
      <c r="C137" s="581"/>
      <c r="D137" s="581"/>
      <c r="E137" s="581"/>
      <c r="F137" s="581"/>
      <c r="G137" s="581"/>
      <c r="H137" s="581"/>
      <c r="I137" s="27"/>
    </row>
    <row r="138" spans="1:9" ht="9.95" customHeight="1">
      <c r="A138" s="3"/>
      <c r="I138" s="27"/>
    </row>
    <row r="139" ht="15">
      <c r="A139" s="11" t="s">
        <v>52</v>
      </c>
    </row>
    <row r="140" ht="15">
      <c r="A140" s="3" t="s">
        <v>31</v>
      </c>
    </row>
    <row r="141" ht="15">
      <c r="A141" s="3" t="s">
        <v>30</v>
      </c>
    </row>
    <row r="143" ht="15">
      <c r="A143" s="11" t="s">
        <v>53</v>
      </c>
    </row>
    <row r="144" ht="9.95" customHeight="1"/>
    <row r="145" spans="1:9" ht="75" customHeight="1">
      <c r="A145" s="584" t="s">
        <v>97</v>
      </c>
      <c r="B145" s="584"/>
      <c r="C145" s="584"/>
      <c r="D145" s="584"/>
      <c r="E145" s="584"/>
      <c r="F145" s="584"/>
      <c r="G145" s="584"/>
      <c r="H145" s="584"/>
      <c r="I145" s="584"/>
    </row>
    <row r="146" spans="1:9" ht="24.95" customHeight="1">
      <c r="A146" s="3"/>
      <c r="B146" s="3"/>
      <c r="C146" s="3"/>
      <c r="D146" s="3"/>
      <c r="E146" s="3"/>
      <c r="F146" s="3"/>
      <c r="G146" s="3"/>
      <c r="H146" s="3"/>
      <c r="I146" s="3"/>
    </row>
    <row r="147" spans="1:9" ht="30" customHeight="1">
      <c r="A147" s="580" t="s">
        <v>88</v>
      </c>
      <c r="B147" s="580"/>
      <c r="C147" s="580"/>
      <c r="D147" s="580"/>
      <c r="E147" s="580"/>
      <c r="F147" s="580"/>
      <c r="G147" s="580"/>
      <c r="H147" s="580"/>
      <c r="I147" s="580"/>
    </row>
    <row r="148" spans="1:9" ht="9.95" customHeight="1">
      <c r="A148" s="29"/>
      <c r="B148" s="30"/>
      <c r="C148" s="30"/>
      <c r="D148" s="30"/>
      <c r="E148" s="31"/>
      <c r="F148" s="31"/>
      <c r="G148" s="31"/>
      <c r="H148" s="31"/>
      <c r="I148" s="31"/>
    </row>
    <row r="149" spans="1:9" s="32" customFormat="1" ht="30" customHeight="1">
      <c r="A149" s="583" t="s">
        <v>94</v>
      </c>
      <c r="B149" s="583"/>
      <c r="C149" s="583"/>
      <c r="D149" s="583"/>
      <c r="E149" s="583"/>
      <c r="F149" s="583"/>
      <c r="G149" s="583"/>
      <c r="H149" s="583"/>
      <c r="I149" s="583"/>
    </row>
    <row r="150" spans="1:9" ht="30" customHeight="1">
      <c r="A150" s="3"/>
      <c r="B150" s="3"/>
      <c r="C150" s="3"/>
      <c r="D150" s="3"/>
      <c r="E150" s="3"/>
      <c r="F150" s="3"/>
      <c r="G150" s="3"/>
      <c r="H150" s="3"/>
      <c r="I150" s="3"/>
    </row>
    <row r="151" spans="1:9" ht="30" customHeight="1">
      <c r="A151" s="580" t="s">
        <v>89</v>
      </c>
      <c r="B151" s="580"/>
      <c r="C151" s="580"/>
      <c r="D151" s="580"/>
      <c r="E151" s="580"/>
      <c r="F151" s="580"/>
      <c r="G151" s="580"/>
      <c r="H151" s="580"/>
      <c r="I151" s="580"/>
    </row>
    <row r="152" spans="1:9" ht="9.95" customHeight="1">
      <c r="A152" s="31"/>
      <c r="B152" s="31"/>
      <c r="C152" s="31"/>
      <c r="D152" s="31"/>
      <c r="E152" s="31"/>
      <c r="F152" s="31"/>
      <c r="G152" s="31"/>
      <c r="H152" s="31"/>
      <c r="I152" s="31"/>
    </row>
    <row r="153" spans="1:9" ht="45" customHeight="1">
      <c r="A153" s="580" t="s">
        <v>54</v>
      </c>
      <c r="B153" s="580"/>
      <c r="C153" s="580"/>
      <c r="D153" s="580"/>
      <c r="E153" s="580"/>
      <c r="F153" s="580"/>
      <c r="G153" s="580"/>
      <c r="H153" s="580"/>
      <c r="I153" s="580"/>
    </row>
    <row r="154" spans="1:9" ht="30" customHeight="1">
      <c r="A154" s="3"/>
      <c r="B154" s="3"/>
      <c r="C154" s="3"/>
      <c r="D154" s="3"/>
      <c r="E154" s="3"/>
      <c r="F154" s="3"/>
      <c r="G154" s="3"/>
      <c r="H154" s="3"/>
      <c r="I154" s="3"/>
    </row>
    <row r="155" spans="1:9" ht="30" customHeight="1">
      <c r="A155" s="580" t="s">
        <v>91</v>
      </c>
      <c r="B155" s="580"/>
      <c r="C155" s="580"/>
      <c r="D155" s="580"/>
      <c r="E155" s="580"/>
      <c r="F155" s="580"/>
      <c r="G155" s="580"/>
      <c r="H155" s="580"/>
      <c r="I155" s="580"/>
    </row>
    <row r="156" spans="1:9" ht="9.95" customHeight="1">
      <c r="A156" s="31"/>
      <c r="B156" s="31"/>
      <c r="C156" s="31"/>
      <c r="D156" s="31"/>
      <c r="E156" s="31"/>
      <c r="F156" s="31"/>
      <c r="G156" s="31"/>
      <c r="H156" s="31"/>
      <c r="I156" s="31"/>
    </row>
    <row r="157" spans="1:9" ht="60" customHeight="1">
      <c r="A157" s="583" t="s">
        <v>55</v>
      </c>
      <c r="B157" s="583"/>
      <c r="C157" s="583"/>
      <c r="D157" s="583"/>
      <c r="E157" s="583"/>
      <c r="F157" s="583"/>
      <c r="G157" s="583"/>
      <c r="H157" s="583"/>
      <c r="I157" s="583"/>
    </row>
    <row r="158" spans="1:9" ht="30" customHeight="1">
      <c r="A158" s="3"/>
      <c r="B158" s="3"/>
      <c r="C158" s="3"/>
      <c r="D158" s="3"/>
      <c r="E158" s="3"/>
      <c r="F158" s="3"/>
      <c r="G158" s="3"/>
      <c r="H158" s="3"/>
      <c r="I158" s="3"/>
    </row>
    <row r="159" spans="1:9" ht="15">
      <c r="A159" s="580" t="s">
        <v>90</v>
      </c>
      <c r="B159" s="580"/>
      <c r="C159" s="580"/>
      <c r="D159" s="580"/>
      <c r="E159" s="580"/>
      <c r="F159" s="580"/>
      <c r="G159" s="580"/>
      <c r="H159" s="580"/>
      <c r="I159" s="580"/>
    </row>
    <row r="160" spans="1:9" ht="9.95" customHeight="1">
      <c r="A160" s="31"/>
      <c r="B160" s="31"/>
      <c r="C160" s="31"/>
      <c r="D160" s="31"/>
      <c r="E160" s="31"/>
      <c r="F160" s="31"/>
      <c r="G160" s="31"/>
      <c r="H160" s="31"/>
      <c r="I160" s="31"/>
    </row>
    <row r="161" spans="1:9" ht="105" customHeight="1">
      <c r="A161" s="583" t="s">
        <v>78</v>
      </c>
      <c r="B161" s="583"/>
      <c r="C161" s="583"/>
      <c r="D161" s="583"/>
      <c r="E161" s="583"/>
      <c r="F161" s="583"/>
      <c r="G161" s="583"/>
      <c r="H161" s="583"/>
      <c r="I161" s="583"/>
    </row>
    <row r="162" spans="1:9" ht="75" customHeight="1">
      <c r="A162" s="3"/>
      <c r="B162" s="3"/>
      <c r="C162" s="3"/>
      <c r="D162" s="3"/>
      <c r="E162" s="3"/>
      <c r="F162" s="3"/>
      <c r="G162" s="3"/>
      <c r="H162" s="3"/>
      <c r="I162" s="3"/>
    </row>
    <row r="163" spans="1:9" ht="30" customHeight="1">
      <c r="A163" s="580" t="s">
        <v>92</v>
      </c>
      <c r="B163" s="580"/>
      <c r="C163" s="580"/>
      <c r="D163" s="580"/>
      <c r="E163" s="580"/>
      <c r="F163" s="580"/>
      <c r="G163" s="580"/>
      <c r="H163" s="580"/>
      <c r="I163" s="580"/>
    </row>
    <row r="164" spans="1:9" ht="15">
      <c r="A164" s="582" t="s">
        <v>79</v>
      </c>
      <c r="B164" s="582"/>
      <c r="C164" s="582"/>
      <c r="D164" s="582"/>
      <c r="E164" s="582"/>
      <c r="F164" s="582"/>
      <c r="G164" s="582"/>
      <c r="H164" s="582"/>
      <c r="I164" s="582"/>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sheetPr>
    <tabColor theme="6" tint="-0.24997000396251678"/>
  </sheetPr>
  <dimension ref="A1:M77"/>
  <sheetViews>
    <sheetView workbookViewId="0" topLeftCell="A1">
      <pane ySplit="8" topLeftCell="A9" activePane="bottomLeft" state="frozen"/>
      <selection pane="bottomLeft" activeCell="A2" sqref="A2"/>
    </sheetView>
  </sheetViews>
  <sheetFormatPr defaultColWidth="8.8515625" defaultRowHeight="15"/>
  <cols>
    <col min="1" max="1" width="54.140625" style="1" customWidth="1"/>
    <col min="2" max="3" width="10.7109375" style="38" customWidth="1"/>
    <col min="4" max="11" width="10.7109375" style="1" customWidth="1"/>
    <col min="12" max="12" width="127.28125" style="1" bestFit="1" customWidth="1"/>
    <col min="13" max="13" width="10.7109375" style="1" bestFit="1" customWidth="1"/>
    <col min="14" max="16384" width="8.8515625" style="1" customWidth="1"/>
  </cols>
  <sheetData>
    <row r="1" ht="18.75">
      <c r="A1" s="579" t="s">
        <v>129</v>
      </c>
    </row>
    <row r="2" spans="1:11" ht="15">
      <c r="A2" s="43"/>
      <c r="I2" s="518" t="s">
        <v>32</v>
      </c>
      <c r="J2" s="519"/>
      <c r="K2" s="519" t="str">
        <f ca="1">CELL("contents",README!I6)</f>
        <v>1.1</v>
      </c>
    </row>
    <row r="3" spans="1:11" ht="15">
      <c r="A3" s="69"/>
      <c r="I3" s="518" t="s">
        <v>28</v>
      </c>
      <c r="J3" s="519"/>
      <c r="K3" s="519" t="str">
        <f ca="1">IF(README!I7="","",CELL("contents",README!I7))</f>
        <v>Coresia</v>
      </c>
    </row>
    <row r="4" spans="9:11" ht="15">
      <c r="I4" s="518" t="s">
        <v>33</v>
      </c>
      <c r="J4" s="602">
        <f ca="1">CELL("contents",README!H8)</f>
        <v>41565</v>
      </c>
      <c r="K4" s="602"/>
    </row>
    <row r="5" spans="9:11" ht="15">
      <c r="I5" s="518" t="s">
        <v>25</v>
      </c>
      <c r="J5" s="602">
        <f ca="1">CELL("contents",README!H9)</f>
        <v>41605</v>
      </c>
      <c r="K5" s="602"/>
    </row>
    <row r="6" spans="9:11" ht="15">
      <c r="I6" s="518" t="s">
        <v>26</v>
      </c>
      <c r="J6" s="519"/>
      <c r="K6" s="519" t="str">
        <f ca="1">IF(README!I10="","",CELL("contents",README!I10))</f>
        <v>ABND guide</v>
      </c>
    </row>
    <row r="8" spans="1:12" ht="15">
      <c r="A8" s="313" t="s">
        <v>220</v>
      </c>
      <c r="B8" s="66">
        <v>2011</v>
      </c>
      <c r="C8" s="300">
        <v>2012</v>
      </c>
      <c r="D8" s="300">
        <v>2013</v>
      </c>
      <c r="E8" s="300">
        <v>2014</v>
      </c>
      <c r="F8" s="300">
        <v>2015</v>
      </c>
      <c r="G8" s="300">
        <v>2016</v>
      </c>
      <c r="H8" s="300">
        <v>2017</v>
      </c>
      <c r="I8" s="300">
        <v>2018</v>
      </c>
      <c r="J8" s="300">
        <v>2019</v>
      </c>
      <c r="K8" s="300">
        <v>2020</v>
      </c>
      <c r="L8" s="59" t="s">
        <v>304</v>
      </c>
    </row>
    <row r="9" spans="1:11" ht="15">
      <c r="A9" s="8"/>
      <c r="B9" s="70"/>
      <c r="C9" s="40"/>
      <c r="D9" s="4"/>
      <c r="E9" s="4"/>
      <c r="F9" s="4"/>
      <c r="G9" s="4"/>
      <c r="H9" s="4"/>
      <c r="I9" s="4"/>
      <c r="J9" s="4"/>
      <c r="K9" s="10"/>
    </row>
    <row r="10" spans="1:11" ht="15">
      <c r="A10" s="607" t="s">
        <v>345</v>
      </c>
      <c r="B10" s="608"/>
      <c r="C10" s="608"/>
      <c r="D10" s="608"/>
      <c r="E10" s="608"/>
      <c r="F10" s="608"/>
      <c r="G10" s="608"/>
      <c r="H10" s="608"/>
      <c r="I10" s="608"/>
      <c r="J10" s="608"/>
      <c r="K10" s="609"/>
    </row>
    <row r="11" spans="1:11" ht="15">
      <c r="A11" s="65" t="s">
        <v>121</v>
      </c>
      <c r="B11" s="67">
        <f>POP!H$60</f>
        <v>64082.42121420116</v>
      </c>
      <c r="C11" s="42">
        <f>POP!I$60</f>
        <v>64360.18766125533</v>
      </c>
      <c r="D11" s="43">
        <f>POP!J$60</f>
        <v>64623.04486955623</v>
      </c>
      <c r="E11" s="43">
        <f>POP!K$60</f>
        <v>64764.57009053384</v>
      </c>
      <c r="F11" s="43">
        <f>POP!L$60</f>
        <v>64996.1397053735</v>
      </c>
      <c r="G11" s="43">
        <f>POP!M$60</f>
        <v>65104.80693273373</v>
      </c>
      <c r="H11" s="43">
        <f>POP!N$60</f>
        <v>65297.291041412514</v>
      </c>
      <c r="I11" s="43">
        <f>POP!O$60</f>
        <v>65361.40095234717</v>
      </c>
      <c r="J11" s="43">
        <f>POP!P$60</f>
        <v>65509.81931349555</v>
      </c>
      <c r="K11" s="44">
        <f>POP!Q$60</f>
        <v>65529.90528267191</v>
      </c>
    </row>
    <row r="12" spans="1:11" ht="15">
      <c r="A12" s="65" t="s">
        <v>271</v>
      </c>
      <c r="B12" s="67">
        <f>SUM(POP!H49:H59)</f>
        <v>51612.57328319403</v>
      </c>
      <c r="C12" s="42">
        <f>SUM(POP!I49:I59)</f>
        <v>52064.42349894809</v>
      </c>
      <c r="D12" s="43">
        <f>SUM(POP!J49:J59)</f>
        <v>52500.3412959442</v>
      </c>
      <c r="E12" s="43">
        <f>SUM(POP!K49:K59)</f>
        <v>52810.45992225517</v>
      </c>
      <c r="F12" s="43">
        <f>SUM(POP!L49:L59)</f>
        <v>53203.33457939689</v>
      </c>
      <c r="G12" s="43">
        <f>SUM(POP!M49:M59)</f>
        <v>53464.11920532206</v>
      </c>
      <c r="H12" s="43">
        <f>SUM(POP!N49:N59)</f>
        <v>53804.16580904549</v>
      </c>
      <c r="I12" s="43">
        <f>SUM(POP!O49:O59)</f>
        <v>54010.76198224615</v>
      </c>
      <c r="J12" s="43">
        <f>SUM(POP!P49:P59)</f>
        <v>54296.434885723516</v>
      </c>
      <c r="K12" s="44">
        <f>SUM(POP!Q49:Q59)</f>
        <v>54448.48649838667</v>
      </c>
    </row>
    <row r="13" spans="1:12" ht="15">
      <c r="A13" s="65" t="s">
        <v>270</v>
      </c>
      <c r="B13" s="224">
        <v>0.01634</v>
      </c>
      <c r="C13" s="224">
        <v>0.01634</v>
      </c>
      <c r="D13" s="225">
        <v>0.01634</v>
      </c>
      <c r="E13" s="225">
        <v>0.01634</v>
      </c>
      <c r="F13" s="225">
        <v>0.01634</v>
      </c>
      <c r="G13" s="225">
        <v>0.01634</v>
      </c>
      <c r="H13" s="225">
        <v>0.01634</v>
      </c>
      <c r="I13" s="225">
        <v>0.01634</v>
      </c>
      <c r="J13" s="225">
        <v>0.01634</v>
      </c>
      <c r="K13" s="226">
        <v>0.01634</v>
      </c>
      <c r="L13" s="1" t="s">
        <v>317</v>
      </c>
    </row>
    <row r="14" spans="1:11" ht="15">
      <c r="A14" s="65"/>
      <c r="B14" s="224"/>
      <c r="C14" s="224"/>
      <c r="D14" s="225"/>
      <c r="E14" s="225"/>
      <c r="F14" s="225"/>
      <c r="G14" s="225"/>
      <c r="H14" s="225"/>
      <c r="I14" s="225"/>
      <c r="J14" s="225"/>
      <c r="K14" s="226"/>
    </row>
    <row r="15" spans="1:11" ht="15">
      <c r="A15" s="95" t="s">
        <v>122</v>
      </c>
      <c r="B15" s="42">
        <f>B13*B12</f>
        <v>843.3494474473905</v>
      </c>
      <c r="C15" s="42">
        <f aca="true" t="shared" si="0" ref="C15:K15">C13*C12</f>
        <v>850.7326799728119</v>
      </c>
      <c r="D15" s="43">
        <f t="shared" si="0"/>
        <v>857.8555767757282</v>
      </c>
      <c r="E15" s="43">
        <f t="shared" si="0"/>
        <v>862.9229151296495</v>
      </c>
      <c r="F15" s="43">
        <f t="shared" si="0"/>
        <v>869.3424870273452</v>
      </c>
      <c r="G15" s="43">
        <f t="shared" si="0"/>
        <v>873.6037078149625</v>
      </c>
      <c r="H15" s="43">
        <f t="shared" si="0"/>
        <v>879.1600693198033</v>
      </c>
      <c r="I15" s="43">
        <f t="shared" si="0"/>
        <v>882.535850789902</v>
      </c>
      <c r="J15" s="43">
        <f t="shared" si="0"/>
        <v>887.2037460327223</v>
      </c>
      <c r="K15" s="44">
        <f t="shared" si="0"/>
        <v>889.6882693836383</v>
      </c>
    </row>
    <row r="16" spans="1:11" ht="15">
      <c r="A16" s="95" t="s">
        <v>146</v>
      </c>
      <c r="B16" s="197">
        <v>0</v>
      </c>
      <c r="C16" s="173">
        <v>0</v>
      </c>
      <c r="D16" s="201">
        <v>0</v>
      </c>
      <c r="E16" s="201">
        <v>0.25</v>
      </c>
      <c r="F16" s="201">
        <v>0.5</v>
      </c>
      <c r="G16" s="201">
        <v>0.75</v>
      </c>
      <c r="H16" s="201">
        <v>1</v>
      </c>
      <c r="I16" s="201">
        <v>1</v>
      </c>
      <c r="J16" s="201">
        <v>1</v>
      </c>
      <c r="K16" s="202">
        <v>1</v>
      </c>
    </row>
    <row r="17" spans="1:11" ht="15">
      <c r="A17" s="95" t="s">
        <v>147</v>
      </c>
      <c r="B17" s="42">
        <f>B16*B15</f>
        <v>0</v>
      </c>
      <c r="C17" s="42">
        <f aca="true" t="shared" si="1" ref="C17:K17">C16*C15</f>
        <v>0</v>
      </c>
      <c r="D17" s="43">
        <f t="shared" si="1"/>
        <v>0</v>
      </c>
      <c r="E17" s="43">
        <f t="shared" si="1"/>
        <v>215.73072878241237</v>
      </c>
      <c r="F17" s="43">
        <f t="shared" si="1"/>
        <v>434.6712435136726</v>
      </c>
      <c r="G17" s="43">
        <f t="shared" si="1"/>
        <v>655.2027808612219</v>
      </c>
      <c r="H17" s="43">
        <f t="shared" si="1"/>
        <v>879.1600693198033</v>
      </c>
      <c r="I17" s="43">
        <f t="shared" si="1"/>
        <v>882.535850789902</v>
      </c>
      <c r="J17" s="43">
        <f t="shared" si="1"/>
        <v>887.2037460327223</v>
      </c>
      <c r="K17" s="44">
        <f t="shared" si="1"/>
        <v>889.6882693836383</v>
      </c>
    </row>
    <row r="18" spans="1:11" s="77" customFormat="1" ht="15">
      <c r="A18" s="190"/>
      <c r="B18" s="145"/>
      <c r="C18" s="136"/>
      <c r="D18" s="147"/>
      <c r="E18" s="147"/>
      <c r="F18" s="147"/>
      <c r="G18" s="147"/>
      <c r="H18" s="147"/>
      <c r="I18" s="147"/>
      <c r="J18" s="147"/>
      <c r="K18" s="199"/>
    </row>
    <row r="19" spans="1:11" s="77" customFormat="1" ht="15">
      <c r="A19" s="95" t="s">
        <v>184</v>
      </c>
      <c r="B19" s="126">
        <f>500*12</f>
        <v>6000</v>
      </c>
      <c r="C19" s="117">
        <f>B19*(1+ECO!I9)</f>
        <v>6181.8</v>
      </c>
      <c r="D19" s="117">
        <f>C19*(1+ECO!J9)</f>
        <v>6331.39956</v>
      </c>
      <c r="E19" s="117">
        <f>D19*(1+ECO!K9)</f>
        <v>6492.217108824</v>
      </c>
      <c r="F19" s="117">
        <f>E19*(1+ECO!L9)</f>
        <v>6652.574871411953</v>
      </c>
      <c r="G19" s="117">
        <f>F19*(1+ECO!M9)</f>
        <v>6818.223985710109</v>
      </c>
      <c r="H19" s="117">
        <f>G19*(1+ECO!N9)</f>
        <v>6989.361407751432</v>
      </c>
      <c r="I19" s="117">
        <f>H19*(1+ECO!O9)</f>
        <v>7166.1922513675445</v>
      </c>
      <c r="J19" s="117">
        <f>I19*(1+ECO!P9)</f>
        <v>7342.480580751186</v>
      </c>
      <c r="K19" s="116">
        <f>J19*(1+ECO!Q9)</f>
        <v>7529.713835560341</v>
      </c>
    </row>
    <row r="20" spans="1:11" s="77" customFormat="1" ht="15">
      <c r="A20" s="95" t="s">
        <v>232</v>
      </c>
      <c r="B20" s="118">
        <f>B17*B19/1000</f>
        <v>0</v>
      </c>
      <c r="C20" s="118">
        <f aca="true" t="shared" si="2" ref="C20:K20">C17*C19/1000</f>
        <v>0</v>
      </c>
      <c r="D20" s="117">
        <f t="shared" si="2"/>
        <v>0</v>
      </c>
      <c r="E20" s="117">
        <f t="shared" si="2"/>
        <v>1400.5707283002478</v>
      </c>
      <c r="F20" s="117">
        <f t="shared" si="2"/>
        <v>2891.682991924444</v>
      </c>
      <c r="G20" s="117">
        <f t="shared" si="2"/>
        <v>4467.319315971948</v>
      </c>
      <c r="H20" s="117">
        <f t="shared" si="2"/>
        <v>6144.767459739906</v>
      </c>
      <c r="I20" s="117">
        <f t="shared" si="2"/>
        <v>6324.421575484659</v>
      </c>
      <c r="J20" s="117">
        <f t="shared" si="2"/>
        <v>6514.27627641497</v>
      </c>
      <c r="K20" s="116">
        <f t="shared" si="2"/>
        <v>6699.098071313717</v>
      </c>
    </row>
    <row r="21" spans="1:11" s="77" customFormat="1" ht="15">
      <c r="A21" s="95"/>
      <c r="B21" s="205"/>
      <c r="C21" s="147"/>
      <c r="D21" s="147"/>
      <c r="E21" s="147"/>
      <c r="F21" s="147"/>
      <c r="G21" s="147"/>
      <c r="H21" s="147"/>
      <c r="I21" s="147"/>
      <c r="J21" s="147"/>
      <c r="K21" s="199"/>
    </row>
    <row r="22" spans="1:12" s="77" customFormat="1" ht="15">
      <c r="A22" s="184" t="s">
        <v>188</v>
      </c>
      <c r="B22" s="126">
        <f>5%*B20</f>
        <v>0</v>
      </c>
      <c r="C22" s="117">
        <f>5%*C20</f>
        <v>0</v>
      </c>
      <c r="D22" s="117">
        <f>5%*D20</f>
        <v>0</v>
      </c>
      <c r="E22" s="117">
        <f aca="true" t="shared" si="3" ref="E22:J22">5%*E20</f>
        <v>70.0285364150124</v>
      </c>
      <c r="F22" s="117">
        <f t="shared" si="3"/>
        <v>144.5841495962222</v>
      </c>
      <c r="G22" s="117">
        <f t="shared" si="3"/>
        <v>223.3659657985974</v>
      </c>
      <c r="H22" s="117">
        <f t="shared" si="3"/>
        <v>307.23837298699533</v>
      </c>
      <c r="I22" s="117">
        <f t="shared" si="3"/>
        <v>316.221078774233</v>
      </c>
      <c r="J22" s="117">
        <f t="shared" si="3"/>
        <v>325.71381382074856</v>
      </c>
      <c r="K22" s="116">
        <f>5%*K20</f>
        <v>334.95490356568587</v>
      </c>
      <c r="L22" s="77" t="s">
        <v>268</v>
      </c>
    </row>
    <row r="23" spans="1:11" ht="15">
      <c r="A23" s="65"/>
      <c r="B23" s="67"/>
      <c r="C23" s="43"/>
      <c r="D23" s="43"/>
      <c r="E23" s="43"/>
      <c r="F23" s="43"/>
      <c r="G23" s="43"/>
      <c r="H23" s="43"/>
      <c r="I23" s="43"/>
      <c r="J23" s="43"/>
      <c r="K23" s="44"/>
    </row>
    <row r="24" spans="1:11" ht="15">
      <c r="A24" s="502" t="s">
        <v>189</v>
      </c>
      <c r="B24" s="498">
        <f>B20+B22</f>
        <v>0</v>
      </c>
      <c r="C24" s="500">
        <f>C20+C22</f>
        <v>0</v>
      </c>
      <c r="D24" s="500">
        <f>D20+D22</f>
        <v>0</v>
      </c>
      <c r="E24" s="500">
        <f aca="true" t="shared" si="4" ref="E24:J24">E20+E22</f>
        <v>1470.5992647152602</v>
      </c>
      <c r="F24" s="500">
        <f t="shared" si="4"/>
        <v>3036.2671415206664</v>
      </c>
      <c r="G24" s="500">
        <f t="shared" si="4"/>
        <v>4690.685281770545</v>
      </c>
      <c r="H24" s="500">
        <f t="shared" si="4"/>
        <v>6452.005832726902</v>
      </c>
      <c r="I24" s="500">
        <f t="shared" si="4"/>
        <v>6640.642654258892</v>
      </c>
      <c r="J24" s="500">
        <f t="shared" si="4"/>
        <v>6839.9900902357185</v>
      </c>
      <c r="K24" s="501">
        <f>K20+K22</f>
        <v>7034.052974879402</v>
      </c>
    </row>
    <row r="25" spans="1:11" ht="15">
      <c r="A25" s="502" t="s">
        <v>120</v>
      </c>
      <c r="B25" s="503">
        <f>B24/(ECO!H28*1000)</f>
        <v>0</v>
      </c>
      <c r="C25" s="504">
        <f>C24/(ECO!I28*1000)</f>
        <v>0</v>
      </c>
      <c r="D25" s="504">
        <f>D24/(ECO!J28*1000)</f>
        <v>0</v>
      </c>
      <c r="E25" s="504">
        <f>E24/(ECO!K28*1000)</f>
        <v>0.0001123237075790097</v>
      </c>
      <c r="F25" s="504">
        <f>F24/(ECO!L28*1000)</f>
        <v>0.00021393356816423427</v>
      </c>
      <c r="G25" s="504">
        <f>G24/(ECO!M28*1000)</f>
        <v>0.00030469026372776915</v>
      </c>
      <c r="H25" s="504">
        <f>H24/(ECO!N28*1000)</f>
        <v>0.00038620473577603625</v>
      </c>
      <c r="I25" s="504">
        <f>I24/(ECO!O28*1000)</f>
        <v>0.00036617502433167903</v>
      </c>
      <c r="J25" s="504">
        <f>J24/(ECO!P28*1000)</f>
        <v>0.00034746107136198937</v>
      </c>
      <c r="K25" s="505">
        <f>K24/(ECO!Q28*1000)</f>
        <v>0.0003290141612016645</v>
      </c>
    </row>
    <row r="26" spans="1:11" ht="15">
      <c r="A26" s="506" t="s">
        <v>234</v>
      </c>
      <c r="B26" s="507">
        <f>B24/('GGO (SQ)'!H11*1000)</f>
        <v>0</v>
      </c>
      <c r="C26" s="508">
        <f>C24/('GGO (SQ)'!I11*1000)</f>
        <v>0</v>
      </c>
      <c r="D26" s="508">
        <f>D24/('GGO (SQ)'!J11*1000)</f>
        <v>0</v>
      </c>
      <c r="E26" s="508">
        <f>E24/('GGO (SQ)'!K11*1000)</f>
        <v>0.0005692116436914707</v>
      </c>
      <c r="F26" s="508">
        <f>F24/('GGO (SQ)'!L11*1000)</f>
        <v>0.0010914937631151663</v>
      </c>
      <c r="G26" s="508">
        <f>G24/('GGO (SQ)'!M11*1000)</f>
        <v>0.0015657715862222032</v>
      </c>
      <c r="H26" s="508">
        <f>H24/('GGO (SQ)'!N11*1000)</f>
        <v>0.0019994241690642696</v>
      </c>
      <c r="I26" s="508">
        <f>I24/('GGO (SQ)'!O11*1000)</f>
        <v>0.0019100440919363937</v>
      </c>
      <c r="J26" s="508">
        <f>J24/('GGO (SQ)'!P11*1000)</f>
        <v>0.0018256399465107322</v>
      </c>
      <c r="K26" s="509">
        <f>K24/('GGO (SQ)'!Q11*1000)</f>
        <v>0.0017417778071047365</v>
      </c>
    </row>
    <row r="27" spans="1:11" ht="15">
      <c r="A27" s="63"/>
      <c r="B27" s="69"/>
      <c r="C27" s="69"/>
      <c r="D27" s="69"/>
      <c r="E27" s="69"/>
      <c r="F27" s="69"/>
      <c r="G27" s="69"/>
      <c r="H27" s="69"/>
      <c r="I27" s="69"/>
      <c r="J27" s="69"/>
      <c r="K27" s="125"/>
    </row>
    <row r="28" spans="1:11" ht="15">
      <c r="A28" s="607" t="s">
        <v>346</v>
      </c>
      <c r="B28" s="608"/>
      <c r="C28" s="608"/>
      <c r="D28" s="608"/>
      <c r="E28" s="608"/>
      <c r="F28" s="608"/>
      <c r="G28" s="608"/>
      <c r="H28" s="608"/>
      <c r="I28" s="608"/>
      <c r="J28" s="608"/>
      <c r="K28" s="609"/>
    </row>
    <row r="29" spans="1:11" ht="15">
      <c r="A29" s="65" t="s">
        <v>121</v>
      </c>
      <c r="B29" s="67">
        <f>POP!H$60</f>
        <v>64082.42121420116</v>
      </c>
      <c r="C29" s="42">
        <f>POP!I$60</f>
        <v>64360.18766125533</v>
      </c>
      <c r="D29" s="43">
        <f>POP!J$60</f>
        <v>64623.04486955623</v>
      </c>
      <c r="E29" s="43">
        <f>POP!K$60</f>
        <v>64764.57009053384</v>
      </c>
      <c r="F29" s="43">
        <f>POP!L$60</f>
        <v>64996.1397053735</v>
      </c>
      <c r="G29" s="43">
        <f>POP!M$60</f>
        <v>65104.80693273373</v>
      </c>
      <c r="H29" s="43">
        <f>POP!N$60</f>
        <v>65297.291041412514</v>
      </c>
      <c r="I29" s="43">
        <f>POP!O$60</f>
        <v>65361.40095234717</v>
      </c>
      <c r="J29" s="43">
        <f>POP!P$60</f>
        <v>65509.81931349555</v>
      </c>
      <c r="K29" s="44">
        <f>POP!Q$60</f>
        <v>65529.90528267191</v>
      </c>
    </row>
    <row r="30" spans="1:12" ht="15">
      <c r="A30" s="65" t="s">
        <v>158</v>
      </c>
      <c r="B30" s="67">
        <f>65.6%*B29</f>
        <v>42038.06831651596</v>
      </c>
      <c r="C30" s="43">
        <f>65.6%*C29</f>
        <v>42220.28310578349</v>
      </c>
      <c r="D30" s="43">
        <f>65.6%*D29</f>
        <v>42392.71743442888</v>
      </c>
      <c r="E30" s="43">
        <f aca="true" t="shared" si="5" ref="E30:K30">65.6%*E29</f>
        <v>42485.55797939019</v>
      </c>
      <c r="F30" s="43">
        <f t="shared" si="5"/>
        <v>42637.46764672501</v>
      </c>
      <c r="G30" s="43">
        <f t="shared" si="5"/>
        <v>42708.753347873324</v>
      </c>
      <c r="H30" s="43">
        <f t="shared" si="5"/>
        <v>42835.0229231666</v>
      </c>
      <c r="I30" s="43">
        <f t="shared" si="5"/>
        <v>42877.07902473974</v>
      </c>
      <c r="J30" s="43">
        <f t="shared" si="5"/>
        <v>42974.44146965307</v>
      </c>
      <c r="K30" s="44">
        <f t="shared" si="5"/>
        <v>42987.61786543277</v>
      </c>
      <c r="L30" s="1" t="s">
        <v>320</v>
      </c>
    </row>
    <row r="31" spans="1:11" ht="15">
      <c r="A31" s="65" t="s">
        <v>272</v>
      </c>
      <c r="B31" s="228">
        <v>5.2</v>
      </c>
      <c r="C31" s="229">
        <v>5.2</v>
      </c>
      <c r="D31" s="229">
        <v>5.2</v>
      </c>
      <c r="E31" s="229">
        <v>5.2</v>
      </c>
      <c r="F31" s="229">
        <v>5.2</v>
      </c>
      <c r="G31" s="229">
        <v>5.2</v>
      </c>
      <c r="H31" s="229">
        <v>5.2</v>
      </c>
      <c r="I31" s="229">
        <v>5.2</v>
      </c>
      <c r="J31" s="229">
        <v>5.2</v>
      </c>
      <c r="K31" s="227">
        <v>5.2</v>
      </c>
    </row>
    <row r="32" spans="1:11" ht="15">
      <c r="A32" s="65" t="s">
        <v>157</v>
      </c>
      <c r="B32" s="67">
        <f>B30/B31</f>
        <v>8084.243907022299</v>
      </c>
      <c r="C32" s="43">
        <f>C30/C31</f>
        <v>8119.285212650671</v>
      </c>
      <c r="D32" s="43">
        <f aca="true" t="shared" si="6" ref="D32:K32">D30/D31</f>
        <v>8152.445660467092</v>
      </c>
      <c r="E32" s="43">
        <f t="shared" si="6"/>
        <v>8170.299611421191</v>
      </c>
      <c r="F32" s="43">
        <f t="shared" si="6"/>
        <v>8199.51300898558</v>
      </c>
      <c r="G32" s="43">
        <f t="shared" si="6"/>
        <v>8213.221797667946</v>
      </c>
      <c r="H32" s="43">
        <f t="shared" si="6"/>
        <v>8237.504408301269</v>
      </c>
      <c r="I32" s="43">
        <f t="shared" si="6"/>
        <v>8245.592120142257</v>
      </c>
      <c r="J32" s="43">
        <f t="shared" si="6"/>
        <v>8264.315667240975</v>
      </c>
      <c r="K32" s="44">
        <f t="shared" si="6"/>
        <v>8266.8495895063</v>
      </c>
    </row>
    <row r="33" spans="1:11" ht="15">
      <c r="A33" s="64"/>
      <c r="B33" s="67"/>
      <c r="C33" s="43"/>
      <c r="D33" s="43"/>
      <c r="E33" s="43"/>
      <c r="F33" s="43"/>
      <c r="G33" s="43"/>
      <c r="H33" s="43"/>
      <c r="I33" s="43"/>
      <c r="J33" s="43"/>
      <c r="K33" s="44"/>
    </row>
    <row r="34" spans="1:11" s="77" customFormat="1" ht="15">
      <c r="A34" s="95" t="s">
        <v>122</v>
      </c>
      <c r="B34" s="126">
        <f>B32</f>
        <v>8084.243907022299</v>
      </c>
      <c r="C34" s="117">
        <f>C32</f>
        <v>8119.285212650671</v>
      </c>
      <c r="D34" s="117">
        <f aca="true" t="shared" si="7" ref="D34:K34">D32</f>
        <v>8152.445660467092</v>
      </c>
      <c r="E34" s="117">
        <f t="shared" si="7"/>
        <v>8170.299611421191</v>
      </c>
      <c r="F34" s="117">
        <f t="shared" si="7"/>
        <v>8199.51300898558</v>
      </c>
      <c r="G34" s="117">
        <f t="shared" si="7"/>
        <v>8213.221797667946</v>
      </c>
      <c r="H34" s="117">
        <f t="shared" si="7"/>
        <v>8237.504408301269</v>
      </c>
      <c r="I34" s="117">
        <f t="shared" si="7"/>
        <v>8245.592120142257</v>
      </c>
      <c r="J34" s="117">
        <f t="shared" si="7"/>
        <v>8264.315667240975</v>
      </c>
      <c r="K34" s="116">
        <f t="shared" si="7"/>
        <v>8266.8495895063</v>
      </c>
    </row>
    <row r="35" spans="1:13" s="77" customFormat="1" ht="15">
      <c r="A35" s="95" t="s">
        <v>146</v>
      </c>
      <c r="B35" s="197">
        <v>0</v>
      </c>
      <c r="C35" s="173">
        <v>0</v>
      </c>
      <c r="D35" s="173">
        <v>0</v>
      </c>
      <c r="E35" s="173">
        <v>0.05</v>
      </c>
      <c r="F35" s="173">
        <v>0.1</v>
      </c>
      <c r="G35" s="173">
        <v>0.15</v>
      </c>
      <c r="H35" s="173">
        <v>0.15</v>
      </c>
      <c r="I35" s="173">
        <v>0.15</v>
      </c>
      <c r="J35" s="173">
        <v>0.15</v>
      </c>
      <c r="K35" s="174">
        <v>0.15</v>
      </c>
      <c r="L35" s="203" t="s">
        <v>318</v>
      </c>
      <c r="M35" s="117"/>
    </row>
    <row r="36" spans="1:11" s="77" customFormat="1" ht="15">
      <c r="A36" s="95" t="s">
        <v>147</v>
      </c>
      <c r="B36" s="126">
        <f>B35*B34</f>
        <v>0</v>
      </c>
      <c r="C36" s="117">
        <f>C35*C34</f>
        <v>0</v>
      </c>
      <c r="D36" s="117">
        <f>D35*D34</f>
        <v>0</v>
      </c>
      <c r="E36" s="117">
        <f aca="true" t="shared" si="8" ref="E36:K36">E35*E34</f>
        <v>408.5149805710596</v>
      </c>
      <c r="F36" s="117">
        <f t="shared" si="8"/>
        <v>819.951300898558</v>
      </c>
      <c r="G36" s="117">
        <f t="shared" si="8"/>
        <v>1231.983269650192</v>
      </c>
      <c r="H36" s="117">
        <f t="shared" si="8"/>
        <v>1235.6256612451903</v>
      </c>
      <c r="I36" s="117">
        <f t="shared" si="8"/>
        <v>1236.8388180213385</v>
      </c>
      <c r="J36" s="117">
        <f t="shared" si="8"/>
        <v>1239.6473500861462</v>
      </c>
      <c r="K36" s="116">
        <f t="shared" si="8"/>
        <v>1240.027438425945</v>
      </c>
    </row>
    <row r="37" spans="1:11" s="77" customFormat="1" ht="15">
      <c r="A37" s="190"/>
      <c r="B37" s="145"/>
      <c r="C37" s="136"/>
      <c r="D37" s="147"/>
      <c r="E37" s="147"/>
      <c r="F37" s="147"/>
      <c r="G37" s="147"/>
      <c r="H37" s="147"/>
      <c r="I37" s="147"/>
      <c r="J37" s="147"/>
      <c r="K37" s="199"/>
    </row>
    <row r="38" spans="1:11" s="77" customFormat="1" ht="15">
      <c r="A38" s="207" t="s">
        <v>159</v>
      </c>
      <c r="B38" s="118">
        <f>ECO!H13</f>
        <v>177</v>
      </c>
      <c r="C38" s="118">
        <f>ECO!I13</f>
        <v>247.79999999999998</v>
      </c>
      <c r="D38" s="117">
        <f>ECO!J13</f>
        <v>300</v>
      </c>
      <c r="E38" s="117">
        <f>ECO!K13</f>
        <v>307.62</v>
      </c>
      <c r="F38" s="117">
        <f>ECO!L13</f>
        <v>315.218214</v>
      </c>
      <c r="G38" s="117">
        <f>ECO!M13</f>
        <v>323.06714752859995</v>
      </c>
      <c r="H38" s="117">
        <f>ECO!N13</f>
        <v>331.1761329315678</v>
      </c>
      <c r="I38" s="117">
        <f>ECO!O13</f>
        <v>339.5548890947365</v>
      </c>
      <c r="J38" s="117">
        <f>ECO!P13</f>
        <v>347.907939366467</v>
      </c>
      <c r="K38" s="116">
        <f>ECO!Q13</f>
        <v>356.77959182031196</v>
      </c>
    </row>
    <row r="39" spans="1:11" s="77" customFormat="1" ht="15">
      <c r="A39" s="207" t="s">
        <v>185</v>
      </c>
      <c r="B39" s="126">
        <f>B38*100</f>
        <v>17700</v>
      </c>
      <c r="C39" s="117">
        <f>C38*100</f>
        <v>24780</v>
      </c>
      <c r="D39" s="117">
        <f aca="true" t="shared" si="9" ref="D39:K39">D38*100</f>
        <v>30000</v>
      </c>
      <c r="E39" s="117">
        <f t="shared" si="9"/>
        <v>30762</v>
      </c>
      <c r="F39" s="117">
        <f t="shared" si="9"/>
        <v>31521.8214</v>
      </c>
      <c r="G39" s="117">
        <f t="shared" si="9"/>
        <v>32306.714752859996</v>
      </c>
      <c r="H39" s="117">
        <f t="shared" si="9"/>
        <v>33117.61329315678</v>
      </c>
      <c r="I39" s="117">
        <f t="shared" si="9"/>
        <v>33955.48890947365</v>
      </c>
      <c r="J39" s="117">
        <f t="shared" si="9"/>
        <v>34790.7939366467</v>
      </c>
      <c r="K39" s="116">
        <f t="shared" si="9"/>
        <v>35677.9591820312</v>
      </c>
    </row>
    <row r="40" spans="1:11" s="77" customFormat="1" ht="15">
      <c r="A40" s="95" t="s">
        <v>187</v>
      </c>
      <c r="B40" s="126">
        <f>B39*B36/1000</f>
        <v>0</v>
      </c>
      <c r="C40" s="117">
        <f>C39*C36/1000</f>
        <v>0</v>
      </c>
      <c r="D40" s="117">
        <f>D39*D36/1000</f>
        <v>0</v>
      </c>
      <c r="E40" s="117">
        <f aca="true" t="shared" si="10" ref="E40:J40">E39*E36/1000</f>
        <v>12566.737832326935</v>
      </c>
      <c r="F40" s="117">
        <f t="shared" si="10"/>
        <v>25846.358463622004</v>
      </c>
      <c r="G40" s="117">
        <f t="shared" si="10"/>
        <v>39801.33207288455</v>
      </c>
      <c r="H40" s="117">
        <f t="shared" si="10"/>
        <v>40920.972824219345</v>
      </c>
      <c r="I40" s="117">
        <f t="shared" si="10"/>
        <v>41997.466768130056</v>
      </c>
      <c r="J40" s="117">
        <f t="shared" si="10"/>
        <v>43128.31551095725</v>
      </c>
      <c r="K40" s="116">
        <f>K39*K36/1000</f>
        <v>44241.64833275957</v>
      </c>
    </row>
    <row r="41" spans="1:11" s="77" customFormat="1" ht="15">
      <c r="A41" s="95"/>
      <c r="B41" s="205"/>
      <c r="C41" s="147"/>
      <c r="D41" s="147"/>
      <c r="E41" s="147"/>
      <c r="F41" s="147"/>
      <c r="G41" s="147"/>
      <c r="H41" s="147"/>
      <c r="I41" s="147"/>
      <c r="J41" s="147"/>
      <c r="K41" s="199"/>
    </row>
    <row r="42" spans="1:12" s="77" customFormat="1" ht="15">
      <c r="A42" s="208" t="s">
        <v>233</v>
      </c>
      <c r="B42" s="116">
        <f>25%*B40</f>
        <v>0</v>
      </c>
      <c r="C42" s="117">
        <f>25%*C40</f>
        <v>0</v>
      </c>
      <c r="D42" s="117">
        <f>25%*D40</f>
        <v>0</v>
      </c>
      <c r="E42" s="117">
        <f aca="true" t="shared" si="11" ref="E42:J42">25%*E40</f>
        <v>3141.6844580817337</v>
      </c>
      <c r="F42" s="117">
        <f t="shared" si="11"/>
        <v>6461.589615905501</v>
      </c>
      <c r="G42" s="117">
        <f t="shared" si="11"/>
        <v>9950.333018221138</v>
      </c>
      <c r="H42" s="117">
        <f t="shared" si="11"/>
        <v>10230.243206054836</v>
      </c>
      <c r="I42" s="117">
        <f t="shared" si="11"/>
        <v>10499.366692032514</v>
      </c>
      <c r="J42" s="117">
        <f t="shared" si="11"/>
        <v>10782.078877739312</v>
      </c>
      <c r="K42" s="116">
        <f>25%*K40</f>
        <v>11060.412083189893</v>
      </c>
      <c r="L42" s="77" t="s">
        <v>319</v>
      </c>
    </row>
    <row r="43" spans="1:11" ht="15">
      <c r="A43" s="65"/>
      <c r="B43" s="67"/>
      <c r="C43" s="43"/>
      <c r="D43" s="43"/>
      <c r="E43" s="43"/>
      <c r="F43" s="43"/>
      <c r="G43" s="43"/>
      <c r="H43" s="43"/>
      <c r="I43" s="43"/>
      <c r="J43" s="43"/>
      <c r="K43" s="44"/>
    </row>
    <row r="44" spans="1:11" ht="15">
      <c r="A44" s="502" t="s">
        <v>190</v>
      </c>
      <c r="B44" s="499">
        <f>B40+B42</f>
        <v>0</v>
      </c>
      <c r="C44" s="499">
        <f aca="true" t="shared" si="12" ref="C44:K44">C40+C42</f>
        <v>0</v>
      </c>
      <c r="D44" s="500">
        <f t="shared" si="12"/>
        <v>0</v>
      </c>
      <c r="E44" s="500">
        <f t="shared" si="12"/>
        <v>15708.42229040867</v>
      </c>
      <c r="F44" s="500">
        <f t="shared" si="12"/>
        <v>32307.948079527505</v>
      </c>
      <c r="G44" s="500">
        <f t="shared" si="12"/>
        <v>49751.665091105686</v>
      </c>
      <c r="H44" s="500">
        <f t="shared" si="12"/>
        <v>51151.21603027418</v>
      </c>
      <c r="I44" s="500">
        <f t="shared" si="12"/>
        <v>52496.83346016257</v>
      </c>
      <c r="J44" s="500">
        <f t="shared" si="12"/>
        <v>53910.39438869656</v>
      </c>
      <c r="K44" s="501">
        <f t="shared" si="12"/>
        <v>55302.06041594946</v>
      </c>
    </row>
    <row r="45" spans="1:11" ht="15">
      <c r="A45" s="502" t="s">
        <v>120</v>
      </c>
      <c r="B45" s="512">
        <f>B44/(ECO!H28*1000)</f>
        <v>0</v>
      </c>
      <c r="C45" s="512">
        <f>C44/(ECO!I28*1000)</f>
        <v>0</v>
      </c>
      <c r="D45" s="504">
        <f>D44/(ECO!J28*1000)</f>
        <v>0</v>
      </c>
      <c r="E45" s="504">
        <f>E44/(ECO!K28*1000)</f>
        <v>0.001199802199151169</v>
      </c>
      <c r="F45" s="504">
        <f>F44/(ECO!L28*1000)</f>
        <v>0.002276398712814346</v>
      </c>
      <c r="G45" s="504">
        <f>G44/(ECO!M28*1000)</f>
        <v>0.0032316915433266463</v>
      </c>
      <c r="H45" s="504">
        <f>H44/(ECO!N28*1000)</f>
        <v>0.0030618140131540655</v>
      </c>
      <c r="I45" s="504">
        <f>I44/(ECO!O28*1000)</f>
        <v>0.0028947543589448654</v>
      </c>
      <c r="J45" s="504">
        <f>J44/(ECO!P28*1000)</f>
        <v>0.002738565867015511</v>
      </c>
      <c r="K45" s="505">
        <f>K44/(ECO!Q28*1000)</f>
        <v>0.0025867250481987365</v>
      </c>
    </row>
    <row r="46" spans="1:11" ht="15">
      <c r="A46" s="506" t="s">
        <v>123</v>
      </c>
      <c r="B46" s="513">
        <f>B44/('GGO (SQ)'!H11*1000)</f>
        <v>0</v>
      </c>
      <c r="C46" s="513">
        <f>C44/('GGO (SQ)'!I11*1000)</f>
        <v>0</v>
      </c>
      <c r="D46" s="508">
        <f>D44/('GGO (SQ)'!J11*1000)</f>
        <v>0</v>
      </c>
      <c r="E46" s="508">
        <f>E44/('GGO (SQ)'!K11*1000)</f>
        <v>0.006080117871849001</v>
      </c>
      <c r="F46" s="508">
        <f>F44/('GGO (SQ)'!L11*1000)</f>
        <v>0.01161423622632609</v>
      </c>
      <c r="G46" s="508">
        <f>G44/('GGO (SQ)'!M11*1000)</f>
        <v>0.016607326837645424</v>
      </c>
      <c r="H46" s="508">
        <f>H44/('GGO (SQ)'!N11*1000)</f>
        <v>0.01585134611769761</v>
      </c>
      <c r="I46" s="508">
        <f>I44/('GGO (SQ)'!O11*1000)</f>
        <v>0.01509963294465854</v>
      </c>
      <c r="J46" s="508">
        <f>J44/('GGO (SQ)'!P11*1000)</f>
        <v>0.0143890514795703</v>
      </c>
      <c r="K46" s="509">
        <f>K44/('GGO (SQ)'!Q11*1000)</f>
        <v>0.013693940302079906</v>
      </c>
    </row>
    <row r="47" spans="1:11" ht="15">
      <c r="A47" s="63"/>
      <c r="B47" s="69"/>
      <c r="C47" s="69"/>
      <c r="D47" s="69"/>
      <c r="E47" s="69"/>
      <c r="F47" s="69"/>
      <c r="G47" s="69"/>
      <c r="H47" s="69"/>
      <c r="I47" s="69"/>
      <c r="J47" s="69"/>
      <c r="K47" s="125"/>
    </row>
    <row r="48" spans="1:11" ht="15">
      <c r="A48" s="607" t="s">
        <v>347</v>
      </c>
      <c r="B48" s="608"/>
      <c r="C48" s="608"/>
      <c r="D48" s="608"/>
      <c r="E48" s="608"/>
      <c r="F48" s="608"/>
      <c r="G48" s="608"/>
      <c r="H48" s="608"/>
      <c r="I48" s="608"/>
      <c r="J48" s="608"/>
      <c r="K48" s="609"/>
    </row>
    <row r="49" spans="1:11" ht="15">
      <c r="A49" s="65" t="s">
        <v>121</v>
      </c>
      <c r="B49" s="67">
        <f>POP!H$60</f>
        <v>64082.42121420116</v>
      </c>
      <c r="C49" s="42">
        <f>POP!I$60</f>
        <v>64360.18766125533</v>
      </c>
      <c r="D49" s="43">
        <f>POP!J$60</f>
        <v>64623.04486955623</v>
      </c>
      <c r="E49" s="43">
        <f>POP!K$60</f>
        <v>64764.57009053384</v>
      </c>
      <c r="F49" s="43">
        <f>POP!L$60</f>
        <v>64996.1397053735</v>
      </c>
      <c r="G49" s="43">
        <f>POP!M$60</f>
        <v>65104.80693273373</v>
      </c>
      <c r="H49" s="43">
        <f>POP!N$60</f>
        <v>65297.291041412514</v>
      </c>
      <c r="I49" s="43">
        <f>POP!O$60</f>
        <v>65361.40095234717</v>
      </c>
      <c r="J49" s="43">
        <f>POP!P$60</f>
        <v>65509.81931349555</v>
      </c>
      <c r="K49" s="44">
        <f>POP!Q$60</f>
        <v>65529.90528267191</v>
      </c>
    </row>
    <row r="50" spans="1:12" ht="15">
      <c r="A50" s="65" t="s">
        <v>275</v>
      </c>
      <c r="B50" s="67">
        <f>62.3%*EAP!H$51</f>
        <v>23104.968595355185</v>
      </c>
      <c r="C50" s="42">
        <f>62.3%*EAP!I$51</f>
        <v>23216.595837696255</v>
      </c>
      <c r="D50" s="43">
        <f>62.3%*EAP!J$51</f>
        <v>23317.772839070953</v>
      </c>
      <c r="E50" s="43">
        <f>62.3%*EAP!K$51</f>
        <v>23393.636196938907</v>
      </c>
      <c r="F50" s="43">
        <f>62.3%*EAP!L$51</f>
        <v>23467.663470414922</v>
      </c>
      <c r="G50" s="43">
        <f>62.3%*EAP!M$51</f>
        <v>23514.276919762742</v>
      </c>
      <c r="H50" s="43">
        <f>62.3%*EAP!N$51</f>
        <v>23559.147688947774</v>
      </c>
      <c r="I50" s="43">
        <f>62.3%*EAP!O$51</f>
        <v>23577.02984932917</v>
      </c>
      <c r="J50" s="43">
        <f>62.3%*EAP!P$51</f>
        <v>23593.199645829667</v>
      </c>
      <c r="K50" s="44">
        <f>62.3%*EAP!Q$51</f>
        <v>23582.39871432095</v>
      </c>
      <c r="L50" s="1" t="s">
        <v>274</v>
      </c>
    </row>
    <row r="51" spans="1:11" ht="15">
      <c r="A51" s="65" t="s">
        <v>276</v>
      </c>
      <c r="B51" s="67">
        <f>ECO!H22*B50</f>
        <v>1280.5157181767904</v>
      </c>
      <c r="C51" s="42">
        <f>ECO!I22*C50</f>
        <v>1112.1714777352734</v>
      </c>
      <c r="D51" s="43">
        <f>ECO!J22*D50</f>
        <v>1050.5239999144396</v>
      </c>
      <c r="E51" s="43">
        <f>ECO!K22*E50</f>
        <v>990.9795199324083</v>
      </c>
      <c r="F51" s="43">
        <f>ECO!L22*F50</f>
        <v>937.2301259256094</v>
      </c>
      <c r="G51" s="43">
        <f>ECO!M22*G50</f>
        <v>884.5691924382451</v>
      </c>
      <c r="H51" s="43">
        <f>ECO!N22*H50</f>
        <v>836.5375234233472</v>
      </c>
      <c r="I51" s="43">
        <f>ECO!O22*I50</f>
        <v>789.1096178672435</v>
      </c>
      <c r="J51" s="43">
        <f>ECO!P22*J50</f>
        <v>745.5660000804919</v>
      </c>
      <c r="K51" s="44">
        <f>ECO!Q22*K50</f>
        <v>702.3697277109369</v>
      </c>
    </row>
    <row r="52" spans="1:11" ht="15">
      <c r="A52" s="63"/>
      <c r="B52" s="68"/>
      <c r="C52" s="41"/>
      <c r="D52" s="4"/>
      <c r="E52" s="4"/>
      <c r="F52" s="4"/>
      <c r="G52" s="4"/>
      <c r="H52" s="4"/>
      <c r="I52" s="4"/>
      <c r="J52" s="4"/>
      <c r="K52" s="9"/>
    </row>
    <row r="53" spans="1:11" ht="15">
      <c r="A53" s="63" t="s">
        <v>162</v>
      </c>
      <c r="B53" s="68"/>
      <c r="C53" s="41"/>
      <c r="D53" s="4"/>
      <c r="E53" s="4"/>
      <c r="F53" s="4"/>
      <c r="G53" s="4"/>
      <c r="H53" s="4"/>
      <c r="I53" s="4"/>
      <c r="J53" s="4"/>
      <c r="K53" s="9"/>
    </row>
    <row r="54" spans="1:11" s="77" customFormat="1" ht="15">
      <c r="A54" s="95" t="s">
        <v>122</v>
      </c>
      <c r="B54" s="126">
        <f>B50</f>
        <v>23104.968595355185</v>
      </c>
      <c r="C54" s="117">
        <f>C50</f>
        <v>23216.595837696255</v>
      </c>
      <c r="D54" s="117">
        <f aca="true" t="shared" si="13" ref="D54:K54">D50</f>
        <v>23317.772839070953</v>
      </c>
      <c r="E54" s="117">
        <f t="shared" si="13"/>
        <v>23393.636196938907</v>
      </c>
      <c r="F54" s="117">
        <f t="shared" si="13"/>
        <v>23467.663470414922</v>
      </c>
      <c r="G54" s="117">
        <f t="shared" si="13"/>
        <v>23514.276919762742</v>
      </c>
      <c r="H54" s="117">
        <f t="shared" si="13"/>
        <v>23559.147688947774</v>
      </c>
      <c r="I54" s="117">
        <f t="shared" si="13"/>
        <v>23577.02984932917</v>
      </c>
      <c r="J54" s="117">
        <f t="shared" si="13"/>
        <v>23593.199645829667</v>
      </c>
      <c r="K54" s="116">
        <f t="shared" si="13"/>
        <v>23582.39871432095</v>
      </c>
    </row>
    <row r="55" spans="1:12" s="77" customFormat="1" ht="15">
      <c r="A55" s="95" t="s">
        <v>339</v>
      </c>
      <c r="B55" s="197">
        <v>0</v>
      </c>
      <c r="C55" s="173">
        <v>0</v>
      </c>
      <c r="D55" s="201">
        <v>0</v>
      </c>
      <c r="E55" s="201">
        <v>0.2</v>
      </c>
      <c r="F55" s="201">
        <f aca="true" t="shared" si="14" ref="F55:K55">E55</f>
        <v>0.2</v>
      </c>
      <c r="G55" s="201">
        <f t="shared" si="14"/>
        <v>0.2</v>
      </c>
      <c r="H55" s="201">
        <f t="shared" si="14"/>
        <v>0.2</v>
      </c>
      <c r="I55" s="201">
        <f t="shared" si="14"/>
        <v>0.2</v>
      </c>
      <c r="J55" s="201">
        <f t="shared" si="14"/>
        <v>0.2</v>
      </c>
      <c r="K55" s="202">
        <f t="shared" si="14"/>
        <v>0.2</v>
      </c>
      <c r="L55" s="77" t="s">
        <v>278</v>
      </c>
    </row>
    <row r="56" spans="1:11" s="77" customFormat="1" ht="15">
      <c r="A56" s="95" t="s">
        <v>122</v>
      </c>
      <c r="B56" s="126">
        <f>B54*B55</f>
        <v>0</v>
      </c>
      <c r="C56" s="117">
        <f>C54*C55</f>
        <v>0</v>
      </c>
      <c r="D56" s="117">
        <f aca="true" t="shared" si="15" ref="D56:K56">D54*D55</f>
        <v>0</v>
      </c>
      <c r="E56" s="117">
        <f t="shared" si="15"/>
        <v>4678.727239387782</v>
      </c>
      <c r="F56" s="117">
        <f t="shared" si="15"/>
        <v>4693.532694082985</v>
      </c>
      <c r="G56" s="117">
        <f t="shared" si="15"/>
        <v>4702.855383952548</v>
      </c>
      <c r="H56" s="117">
        <f t="shared" si="15"/>
        <v>4711.829537789555</v>
      </c>
      <c r="I56" s="117">
        <f t="shared" si="15"/>
        <v>4715.405969865834</v>
      </c>
      <c r="J56" s="117">
        <f t="shared" si="15"/>
        <v>4718.639929165934</v>
      </c>
      <c r="K56" s="116">
        <f t="shared" si="15"/>
        <v>4716.47974286419</v>
      </c>
    </row>
    <row r="57" spans="1:12" s="77" customFormat="1" ht="15">
      <c r="A57" s="207" t="s">
        <v>277</v>
      </c>
      <c r="B57" s="145">
        <v>250</v>
      </c>
      <c r="C57" s="117">
        <f>B57*(1+ECO!I12)</f>
        <v>277.6266613591633</v>
      </c>
      <c r="D57" s="117">
        <f>C57*(1+ECO!J12)</f>
        <v>322.2677414361221</v>
      </c>
      <c r="E57" s="117">
        <f>D57*(1+ECO!K12)</f>
        <v>341.60380592228944</v>
      </c>
      <c r="F57" s="117">
        <f>E57*(1+ECO!L12)</f>
        <v>362.10003427762683</v>
      </c>
      <c r="G57" s="117">
        <f>F57*(1+ECO!M12)</f>
        <v>383.8260363342845</v>
      </c>
      <c r="H57" s="117">
        <f>G57*(1+ECO!N12)</f>
        <v>406.8555985143416</v>
      </c>
      <c r="I57" s="117">
        <f>H57*(1+ECO!O12)</f>
        <v>431.2669344252021</v>
      </c>
      <c r="J57" s="117">
        <f>I57*(1+ECO!P12)</f>
        <v>457.14295049071427</v>
      </c>
      <c r="K57" s="116">
        <f>J57*(1+ECO!Q12)</f>
        <v>484.57152752015713</v>
      </c>
      <c r="L57" s="77" t="s">
        <v>253</v>
      </c>
    </row>
    <row r="58" spans="1:11" s="77" customFormat="1" ht="15">
      <c r="A58" s="95" t="s">
        <v>180</v>
      </c>
      <c r="B58" s="118">
        <f>B57*60</f>
        <v>15000</v>
      </c>
      <c r="C58" s="118">
        <f aca="true" t="shared" si="16" ref="C58:K58">C57*60</f>
        <v>16657.599681549797</v>
      </c>
      <c r="D58" s="117">
        <f t="shared" si="16"/>
        <v>19336.064486167325</v>
      </c>
      <c r="E58" s="117">
        <f t="shared" si="16"/>
        <v>20496.228355337367</v>
      </c>
      <c r="F58" s="117">
        <f t="shared" si="16"/>
        <v>21726.00205665761</v>
      </c>
      <c r="G58" s="117">
        <f t="shared" si="16"/>
        <v>23029.56218005707</v>
      </c>
      <c r="H58" s="117">
        <f t="shared" si="16"/>
        <v>24411.335910860496</v>
      </c>
      <c r="I58" s="117">
        <f t="shared" si="16"/>
        <v>25876.01606551213</v>
      </c>
      <c r="J58" s="117">
        <f t="shared" si="16"/>
        <v>27428.577029442855</v>
      </c>
      <c r="K58" s="116">
        <f t="shared" si="16"/>
        <v>29074.291651209427</v>
      </c>
    </row>
    <row r="59" spans="1:11" s="77" customFormat="1" ht="15">
      <c r="A59" s="95" t="s">
        <v>187</v>
      </c>
      <c r="B59" s="126">
        <f>B58*B56/1000</f>
        <v>0</v>
      </c>
      <c r="C59" s="117">
        <f>C58*C56/1000</f>
        <v>0</v>
      </c>
      <c r="D59" s="117">
        <f>D58*D56/1000</f>
        <v>0</v>
      </c>
      <c r="E59" s="117">
        <f aca="true" t="shared" si="17" ref="E59:J59">E58*E56/1000</f>
        <v>95896.26191082918</v>
      </c>
      <c r="F59" s="117">
        <f t="shared" si="17"/>
        <v>101971.70096463665</v>
      </c>
      <c r="G59" s="117">
        <f t="shared" si="17"/>
        <v>108304.70048855137</v>
      </c>
      <c r="H59" s="117">
        <f t="shared" si="17"/>
        <v>115022.05360169537</v>
      </c>
      <c r="I59" s="117">
        <f t="shared" si="17"/>
        <v>122015.92063166012</v>
      </c>
      <c r="J59" s="117">
        <f t="shared" si="17"/>
        <v>129425.5787713326</v>
      </c>
      <c r="K59" s="116">
        <f>K58*K56/1000</f>
        <v>137128.30761105468</v>
      </c>
    </row>
    <row r="60" spans="1:11" s="77" customFormat="1" ht="15">
      <c r="A60" s="95"/>
      <c r="B60" s="126"/>
      <c r="C60" s="117"/>
      <c r="D60" s="117"/>
      <c r="E60" s="117"/>
      <c r="F60" s="117"/>
      <c r="G60" s="117"/>
      <c r="H60" s="117"/>
      <c r="I60" s="117"/>
      <c r="J60" s="117"/>
      <c r="K60" s="116"/>
    </row>
    <row r="61" spans="1:11" s="77" customFormat="1" ht="15">
      <c r="A61" s="190" t="s">
        <v>161</v>
      </c>
      <c r="B61" s="126"/>
      <c r="C61" s="117"/>
      <c r="D61" s="117"/>
      <c r="E61" s="117"/>
      <c r="F61" s="117"/>
      <c r="G61" s="117"/>
      <c r="H61" s="117"/>
      <c r="I61" s="117"/>
      <c r="J61" s="117"/>
      <c r="K61" s="116"/>
    </row>
    <row r="62" spans="1:11" s="77" customFormat="1" ht="15">
      <c r="A62" s="95" t="s">
        <v>122</v>
      </c>
      <c r="B62" s="126">
        <f>B51</f>
        <v>1280.5157181767904</v>
      </c>
      <c r="C62" s="118">
        <f aca="true" t="shared" si="18" ref="C62:K62">C51</f>
        <v>1112.1714777352734</v>
      </c>
      <c r="D62" s="117">
        <f t="shared" si="18"/>
        <v>1050.5239999144396</v>
      </c>
      <c r="E62" s="117">
        <f t="shared" si="18"/>
        <v>990.9795199324083</v>
      </c>
      <c r="F62" s="117">
        <f t="shared" si="18"/>
        <v>937.2301259256094</v>
      </c>
      <c r="G62" s="117">
        <f t="shared" si="18"/>
        <v>884.5691924382451</v>
      </c>
      <c r="H62" s="117">
        <f t="shared" si="18"/>
        <v>836.5375234233472</v>
      </c>
      <c r="I62" s="117">
        <f t="shared" si="18"/>
        <v>789.1096178672435</v>
      </c>
      <c r="J62" s="117">
        <f t="shared" si="18"/>
        <v>745.5660000804919</v>
      </c>
      <c r="K62" s="116">
        <f t="shared" si="18"/>
        <v>702.3697277109369</v>
      </c>
    </row>
    <row r="63" spans="1:11" s="77" customFormat="1" ht="15">
      <c r="A63" s="95" t="s">
        <v>339</v>
      </c>
      <c r="B63" s="197">
        <v>0</v>
      </c>
      <c r="C63" s="173">
        <v>0</v>
      </c>
      <c r="D63" s="201">
        <v>0</v>
      </c>
      <c r="E63" s="201">
        <v>0.2</v>
      </c>
      <c r="F63" s="201">
        <f aca="true" t="shared" si="19" ref="F63:K63">E63</f>
        <v>0.2</v>
      </c>
      <c r="G63" s="201">
        <f t="shared" si="19"/>
        <v>0.2</v>
      </c>
      <c r="H63" s="201">
        <f t="shared" si="19"/>
        <v>0.2</v>
      </c>
      <c r="I63" s="201">
        <f t="shared" si="19"/>
        <v>0.2</v>
      </c>
      <c r="J63" s="201">
        <f t="shared" si="19"/>
        <v>0.2</v>
      </c>
      <c r="K63" s="202">
        <f t="shared" si="19"/>
        <v>0.2</v>
      </c>
    </row>
    <row r="64" spans="1:11" s="77" customFormat="1" ht="15">
      <c r="A64" s="95" t="s">
        <v>147</v>
      </c>
      <c r="B64" s="126">
        <f>B63*B62</f>
        <v>0</v>
      </c>
      <c r="C64" s="117">
        <f>C63*C62</f>
        <v>0</v>
      </c>
      <c r="D64" s="117">
        <f aca="true" t="shared" si="20" ref="D64:K64">D63*D62</f>
        <v>0</v>
      </c>
      <c r="E64" s="117">
        <f t="shared" si="20"/>
        <v>198.19590398648165</v>
      </c>
      <c r="F64" s="117">
        <f t="shared" si="20"/>
        <v>187.4460251851219</v>
      </c>
      <c r="G64" s="117">
        <f t="shared" si="20"/>
        <v>176.91383848764903</v>
      </c>
      <c r="H64" s="117">
        <f t="shared" si="20"/>
        <v>167.30750468466945</v>
      </c>
      <c r="I64" s="117">
        <f t="shared" si="20"/>
        <v>157.82192357344871</v>
      </c>
      <c r="J64" s="117">
        <f t="shared" si="20"/>
        <v>149.11320001609838</v>
      </c>
      <c r="K64" s="116">
        <f t="shared" si="20"/>
        <v>140.47394554218738</v>
      </c>
    </row>
    <row r="65" spans="1:12" s="77" customFormat="1" ht="15">
      <c r="A65" s="95" t="s">
        <v>160</v>
      </c>
      <c r="B65" s="118">
        <f>50%*ECO!H13</f>
        <v>88.5</v>
      </c>
      <c r="C65" s="118">
        <f>50%*ECO!I13</f>
        <v>123.89999999999999</v>
      </c>
      <c r="D65" s="117">
        <f>50%*ECO!J13</f>
        <v>150</v>
      </c>
      <c r="E65" s="117">
        <f>50%*ECO!K13</f>
        <v>153.81</v>
      </c>
      <c r="F65" s="117">
        <f>50%*ECO!L13</f>
        <v>157.609107</v>
      </c>
      <c r="G65" s="117">
        <f>50%*ECO!M13</f>
        <v>161.53357376429997</v>
      </c>
      <c r="H65" s="117">
        <f>50%*ECO!N13</f>
        <v>165.5880664657839</v>
      </c>
      <c r="I65" s="117">
        <f>50%*ECO!O13</f>
        <v>169.77744454736825</v>
      </c>
      <c r="J65" s="117">
        <f>50%*ECO!P13</f>
        <v>173.9539696832335</v>
      </c>
      <c r="K65" s="116">
        <f>50%*ECO!Q13</f>
        <v>178.38979591015598</v>
      </c>
      <c r="L65" s="77" t="s">
        <v>316</v>
      </c>
    </row>
    <row r="66" spans="1:11" s="77" customFormat="1" ht="15">
      <c r="A66" s="95" t="s">
        <v>180</v>
      </c>
      <c r="B66" s="126">
        <f>B65*60</f>
        <v>5310</v>
      </c>
      <c r="C66" s="118">
        <f aca="true" t="shared" si="21" ref="C66:K66">C65*60</f>
        <v>7433.999999999999</v>
      </c>
      <c r="D66" s="117">
        <f t="shared" si="21"/>
        <v>9000</v>
      </c>
      <c r="E66" s="117">
        <f t="shared" si="21"/>
        <v>9228.6</v>
      </c>
      <c r="F66" s="117">
        <f t="shared" si="21"/>
        <v>9456.546419999999</v>
      </c>
      <c r="G66" s="117">
        <f t="shared" si="21"/>
        <v>9692.014425857999</v>
      </c>
      <c r="H66" s="117">
        <f t="shared" si="21"/>
        <v>9935.283987947034</v>
      </c>
      <c r="I66" s="117">
        <f t="shared" si="21"/>
        <v>10186.646672842095</v>
      </c>
      <c r="J66" s="117">
        <f t="shared" si="21"/>
        <v>10437.23818099401</v>
      </c>
      <c r="K66" s="116">
        <f t="shared" si="21"/>
        <v>10703.387754609359</v>
      </c>
    </row>
    <row r="67" spans="1:11" s="77" customFormat="1" ht="15">
      <c r="A67" s="95" t="s">
        <v>187</v>
      </c>
      <c r="B67" s="126">
        <f>B66*B64/1000</f>
        <v>0</v>
      </c>
      <c r="C67" s="117">
        <f>C66*C64/1000</f>
        <v>0</v>
      </c>
      <c r="D67" s="117">
        <f>D66*D64/1000</f>
        <v>0</v>
      </c>
      <c r="E67" s="117">
        <f aca="true" t="shared" si="22" ref="E67:J67">E66*E64/1000</f>
        <v>1829.0707195296445</v>
      </c>
      <c r="F67" s="117">
        <f t="shared" si="22"/>
        <v>1772.592038407594</v>
      </c>
      <c r="G67" s="117">
        <f t="shared" si="22"/>
        <v>1714.6514747562064</v>
      </c>
      <c r="H67" s="117">
        <f t="shared" si="22"/>
        <v>1662.2475723569698</v>
      </c>
      <c r="I67" s="117">
        <f t="shared" si="22"/>
        <v>1607.6761726710108</v>
      </c>
      <c r="J67" s="117">
        <f t="shared" si="22"/>
        <v>1556.3299844982187</v>
      </c>
      <c r="K67" s="116">
        <f>K66*K64/1000</f>
        <v>1503.5471085579104</v>
      </c>
    </row>
    <row r="68" spans="1:11" s="77" customFormat="1" ht="15">
      <c r="A68" s="95"/>
      <c r="B68" s="205"/>
      <c r="C68" s="147"/>
      <c r="D68" s="147"/>
      <c r="E68" s="147"/>
      <c r="F68" s="147"/>
      <c r="G68" s="147"/>
      <c r="H68" s="147"/>
      <c r="I68" s="147"/>
      <c r="J68" s="147"/>
      <c r="K68" s="199"/>
    </row>
    <row r="69" spans="1:12" s="77" customFormat="1" ht="15">
      <c r="A69" s="230" t="s">
        <v>186</v>
      </c>
      <c r="B69" s="126">
        <f>5%*(B59+B67)</f>
        <v>0</v>
      </c>
      <c r="C69" s="117">
        <f>5%*(C59+C67)</f>
        <v>0</v>
      </c>
      <c r="D69" s="117">
        <f>5%*(D59+D67)</f>
        <v>0</v>
      </c>
      <c r="E69" s="117">
        <f>15%*(E59+E67)</f>
        <v>14658.799894553824</v>
      </c>
      <c r="F69" s="117">
        <f aca="true" t="shared" si="23" ref="F69:K69">15%*(F59+F67)</f>
        <v>15561.643950456635</v>
      </c>
      <c r="G69" s="117">
        <f t="shared" si="23"/>
        <v>16502.902794496134</v>
      </c>
      <c r="H69" s="117">
        <f t="shared" si="23"/>
        <v>17502.64517610785</v>
      </c>
      <c r="I69" s="117">
        <f t="shared" si="23"/>
        <v>18543.53952064967</v>
      </c>
      <c r="J69" s="117">
        <f t="shared" si="23"/>
        <v>19647.28631337462</v>
      </c>
      <c r="K69" s="116">
        <f t="shared" si="23"/>
        <v>20794.77820794189</v>
      </c>
      <c r="L69" s="146" t="s">
        <v>308</v>
      </c>
    </row>
    <row r="70" spans="1:11" ht="15">
      <c r="A70" s="65"/>
      <c r="B70" s="67"/>
      <c r="C70" s="43"/>
      <c r="D70" s="43"/>
      <c r="E70" s="43"/>
      <c r="F70" s="43"/>
      <c r="G70" s="43"/>
      <c r="H70" s="43"/>
      <c r="I70" s="43"/>
      <c r="J70" s="43"/>
      <c r="K70" s="44"/>
    </row>
    <row r="71" spans="1:11" ht="15">
      <c r="A71" s="502" t="s">
        <v>191</v>
      </c>
      <c r="B71" s="498">
        <f>B59+B67+B69</f>
        <v>0</v>
      </c>
      <c r="C71" s="500">
        <f>C59+C67+C69</f>
        <v>0</v>
      </c>
      <c r="D71" s="500">
        <f>D59+D67+D69</f>
        <v>0</v>
      </c>
      <c r="E71" s="500">
        <f aca="true" t="shared" si="24" ref="E71:J71">E59+E67+E69</f>
        <v>112384.13252491265</v>
      </c>
      <c r="F71" s="500">
        <f t="shared" si="24"/>
        <v>119305.93695350087</v>
      </c>
      <c r="G71" s="500">
        <f t="shared" si="24"/>
        <v>126522.25475780372</v>
      </c>
      <c r="H71" s="500">
        <f t="shared" si="24"/>
        <v>134186.94635016017</v>
      </c>
      <c r="I71" s="500">
        <f t="shared" si="24"/>
        <v>142167.1363249808</v>
      </c>
      <c r="J71" s="500">
        <f t="shared" si="24"/>
        <v>150629.19506920545</v>
      </c>
      <c r="K71" s="501">
        <f>K59+K67+K69</f>
        <v>159426.63292755448</v>
      </c>
    </row>
    <row r="72" spans="1:11" ht="15">
      <c r="A72" s="502" t="s">
        <v>120</v>
      </c>
      <c r="B72" s="503">
        <f>B71/(ECO!H28*1000)</f>
        <v>0</v>
      </c>
      <c r="C72" s="504">
        <f>C71/(ECO!I28*1000)</f>
        <v>0</v>
      </c>
      <c r="D72" s="504">
        <f>D71/(ECO!J28*1000)</f>
        <v>0</v>
      </c>
      <c r="E72" s="504">
        <f>E71/(ECO!K28*1000)</f>
        <v>0.008583849279084961</v>
      </c>
      <c r="F72" s="504">
        <f>F71/(ECO!L28*1000)</f>
        <v>0.008406225014461853</v>
      </c>
      <c r="G72" s="504">
        <f>G71/(ECO!M28*1000)</f>
        <v>0.008218436508500118</v>
      </c>
      <c r="H72" s="504">
        <f>H71/(ECO!N28*1000)</f>
        <v>0.008032174102647055</v>
      </c>
      <c r="I72" s="504">
        <f>I71/(ECO!O28*1000)</f>
        <v>0.007839309734514655</v>
      </c>
      <c r="J72" s="504">
        <f>J71/(ECO!P28*1000)</f>
        <v>0.007651733526902895</v>
      </c>
      <c r="K72" s="505">
        <f>K71/(ECO!Q28*1000)</f>
        <v>0.007457097649561605</v>
      </c>
    </row>
    <row r="73" spans="1:11" ht="15">
      <c r="A73" s="506" t="s">
        <v>123</v>
      </c>
      <c r="B73" s="507">
        <f>B71/('GGO (SQ)'!H11*1000)</f>
        <v>0</v>
      </c>
      <c r="C73" s="508">
        <f>C71/('GGO (SQ)'!I11*1000)</f>
        <v>0</v>
      </c>
      <c r="D73" s="508">
        <f>D71/('GGO (SQ)'!J11*1000)</f>
        <v>0</v>
      </c>
      <c r="E73" s="508">
        <f>E71/('GGO (SQ)'!K11*1000)</f>
        <v>0.04349951637690479</v>
      </c>
      <c r="F73" s="508">
        <f>F71/('GGO (SQ)'!L11*1000)</f>
        <v>0.04288874463863479</v>
      </c>
      <c r="G73" s="508">
        <f>G71/('GGO (SQ)'!M11*1000)</f>
        <v>0.04223369073479161</v>
      </c>
      <c r="H73" s="508">
        <f>H71/('GGO (SQ)'!N11*1000)</f>
        <v>0.04158344407324362</v>
      </c>
      <c r="I73" s="508">
        <f>I71/('GGO (SQ)'!O11*1000)</f>
        <v>0.040891448756227404</v>
      </c>
      <c r="J73" s="508">
        <f>J71/('GGO (SQ)'!P11*1000)</f>
        <v>0.0402039581931064</v>
      </c>
      <c r="K73" s="509">
        <f>K71/('GGO (SQ)'!Q11*1000)</f>
        <v>0.03947734998390576</v>
      </c>
    </row>
    <row r="76" ht="15">
      <c r="K76" s="334"/>
    </row>
    <row r="77" ht="15">
      <c r="K77" s="334"/>
    </row>
  </sheetData>
  <mergeCells count="5">
    <mergeCell ref="J4:K4"/>
    <mergeCell ref="J5:K5"/>
    <mergeCell ref="A28:K28"/>
    <mergeCell ref="A10:K10"/>
    <mergeCell ref="A48:K48"/>
  </mergeCells>
  <printOptions/>
  <pageMargins left="0.7" right="0.7" top="0.75" bottom="0.75" header="0.3" footer="0.3"/>
  <pageSetup horizontalDpi="600" verticalDpi="600" orientation="portrait" paperSize="5"/>
</worksheet>
</file>

<file path=xl/worksheets/sheet11.xml><?xml version="1.0" encoding="utf-8"?>
<worksheet xmlns="http://schemas.openxmlformats.org/spreadsheetml/2006/main" xmlns:r="http://schemas.openxmlformats.org/officeDocument/2006/relationships">
  <sheetPr>
    <tabColor theme="6" tint="-0.24997000396251678"/>
  </sheetPr>
  <dimension ref="A1:M80"/>
  <sheetViews>
    <sheetView workbookViewId="0" topLeftCell="A1">
      <pane ySplit="8" topLeftCell="A9" activePane="bottomLeft" state="frozen"/>
      <selection pane="bottomLeft" activeCell="A2" sqref="A2"/>
    </sheetView>
  </sheetViews>
  <sheetFormatPr defaultColWidth="8.8515625" defaultRowHeight="15"/>
  <cols>
    <col min="1" max="1" width="68.421875" style="77" customWidth="1"/>
    <col min="2" max="3" width="10.140625" style="260" customWidth="1"/>
    <col min="4" max="11" width="10.140625" style="77" customWidth="1"/>
    <col min="12" max="12" width="172.00390625" style="77" bestFit="1" customWidth="1"/>
    <col min="13" max="14" width="10.140625" style="77" bestFit="1" customWidth="1"/>
    <col min="15" max="16384" width="8.8515625" style="77" customWidth="1"/>
  </cols>
  <sheetData>
    <row r="1" spans="1:11" ht="18.75">
      <c r="A1" s="579" t="s">
        <v>357</v>
      </c>
      <c r="B1" s="38"/>
      <c r="C1" s="43"/>
      <c r="D1" s="43"/>
      <c r="E1" s="1"/>
      <c r="F1" s="1"/>
      <c r="G1" s="1"/>
      <c r="H1" s="1"/>
      <c r="I1" s="1"/>
      <c r="J1" s="1"/>
      <c r="K1" s="1"/>
    </row>
    <row r="2" spans="1:11" ht="15">
      <c r="A2" s="43"/>
      <c r="B2" s="71"/>
      <c r="C2" s="43"/>
      <c r="D2" s="43"/>
      <c r="E2" s="1"/>
      <c r="F2" s="1"/>
      <c r="G2" s="1"/>
      <c r="H2" s="1"/>
      <c r="I2" s="518" t="s">
        <v>32</v>
      </c>
      <c r="J2" s="519"/>
      <c r="K2" s="519" t="str">
        <f ca="1">CELL("contents",README!I6)</f>
        <v>1.1</v>
      </c>
    </row>
    <row r="3" spans="1:11" ht="15">
      <c r="A3" s="43"/>
      <c r="B3" s="71"/>
      <c r="C3" s="43"/>
      <c r="D3" s="43"/>
      <c r="E3" s="1"/>
      <c r="F3" s="1"/>
      <c r="G3" s="1"/>
      <c r="H3" s="1"/>
      <c r="I3" s="518" t="s">
        <v>28</v>
      </c>
      <c r="J3" s="519"/>
      <c r="K3" s="519" t="str">
        <f ca="1">IF(README!I7="","",CELL("contents",README!I7))</f>
        <v>Coresia</v>
      </c>
    </row>
    <row r="4" spans="1:11" ht="15">
      <c r="A4" s="1"/>
      <c r="B4" s="71"/>
      <c r="C4" s="43"/>
      <c r="D4" s="43"/>
      <c r="E4" s="1"/>
      <c r="F4" s="1"/>
      <c r="G4" s="1"/>
      <c r="H4" s="1"/>
      <c r="I4" s="518" t="s">
        <v>33</v>
      </c>
      <c r="J4" s="602">
        <f ca="1">CELL("contents",README!H8)</f>
        <v>41565</v>
      </c>
      <c r="K4" s="602"/>
    </row>
    <row r="5" spans="1:11" ht="15">
      <c r="A5" s="293"/>
      <c r="B5" s="38"/>
      <c r="C5" s="43"/>
      <c r="D5" s="43"/>
      <c r="E5" s="1"/>
      <c r="F5" s="1"/>
      <c r="G5" s="1"/>
      <c r="H5" s="1"/>
      <c r="I5" s="518" t="s">
        <v>25</v>
      </c>
      <c r="J5" s="602">
        <f ca="1">CELL("contents",README!H9)</f>
        <v>41605</v>
      </c>
      <c r="K5" s="602"/>
    </row>
    <row r="6" spans="1:11" ht="15">
      <c r="A6" s="1"/>
      <c r="B6" s="38"/>
      <c r="C6" s="38"/>
      <c r="D6" s="1"/>
      <c r="E6" s="1"/>
      <c r="F6" s="1"/>
      <c r="G6" s="1"/>
      <c r="H6" s="1"/>
      <c r="I6" s="518" t="s">
        <v>26</v>
      </c>
      <c r="J6" s="519"/>
      <c r="K6" s="519" t="str">
        <f ca="1">IF(README!I10="","",CELL("contents",README!I10))</f>
        <v>ABND guide</v>
      </c>
    </row>
    <row r="7" spans="1:11" ht="15">
      <c r="A7" s="1"/>
      <c r="B7" s="38"/>
      <c r="C7" s="38"/>
      <c r="D7" s="1"/>
      <c r="E7" s="1"/>
      <c r="F7" s="1"/>
      <c r="G7" s="1"/>
      <c r="H7" s="1"/>
      <c r="I7" s="1"/>
      <c r="J7" s="1"/>
      <c r="K7" s="1"/>
    </row>
    <row r="8" spans="1:12" ht="15">
      <c r="A8" s="313" t="s">
        <v>220</v>
      </c>
      <c r="B8" s="66">
        <v>2011</v>
      </c>
      <c r="C8" s="300">
        <v>2012</v>
      </c>
      <c r="D8" s="300">
        <v>2013</v>
      </c>
      <c r="E8" s="300">
        <v>2014</v>
      </c>
      <c r="F8" s="300">
        <v>2015</v>
      </c>
      <c r="G8" s="300">
        <v>2016</v>
      </c>
      <c r="H8" s="300">
        <v>2017</v>
      </c>
      <c r="I8" s="300">
        <v>2018</v>
      </c>
      <c r="J8" s="300">
        <v>2019</v>
      </c>
      <c r="K8" s="300">
        <v>2020</v>
      </c>
      <c r="L8" s="59" t="s">
        <v>304</v>
      </c>
    </row>
    <row r="9" spans="1:11" ht="15">
      <c r="A9" s="8"/>
      <c r="B9" s="70"/>
      <c r="C9" s="40"/>
      <c r="D9" s="4"/>
      <c r="E9" s="4"/>
      <c r="F9" s="4"/>
      <c r="G9" s="4"/>
      <c r="H9" s="4"/>
      <c r="I9" s="4"/>
      <c r="J9" s="4"/>
      <c r="K9" s="10"/>
    </row>
    <row r="10" spans="1:11" ht="15">
      <c r="A10" s="607" t="s">
        <v>348</v>
      </c>
      <c r="B10" s="608"/>
      <c r="C10" s="608"/>
      <c r="D10" s="608"/>
      <c r="E10" s="608"/>
      <c r="F10" s="608"/>
      <c r="G10" s="608"/>
      <c r="H10" s="608"/>
      <c r="I10" s="608"/>
      <c r="J10" s="608"/>
      <c r="K10" s="609"/>
    </row>
    <row r="11" spans="1:11" ht="15">
      <c r="A11" s="65" t="s">
        <v>121</v>
      </c>
      <c r="B11" s="67">
        <f>POP!H$60</f>
        <v>64082.42121420116</v>
      </c>
      <c r="C11" s="42">
        <f>POP!I$60</f>
        <v>64360.18766125533</v>
      </c>
      <c r="D11" s="43">
        <f>POP!J$60</f>
        <v>64623.04486955623</v>
      </c>
      <c r="E11" s="43">
        <f>POP!K$60</f>
        <v>64764.57009053384</v>
      </c>
      <c r="F11" s="43">
        <f>POP!L$60</f>
        <v>64996.1397053735</v>
      </c>
      <c r="G11" s="43">
        <f>POP!M$60</f>
        <v>65104.80693273373</v>
      </c>
      <c r="H11" s="43">
        <f>POP!N$60</f>
        <v>65297.291041412514</v>
      </c>
      <c r="I11" s="43">
        <f>POP!O$60</f>
        <v>65361.40095234717</v>
      </c>
      <c r="J11" s="43">
        <f>POP!P$60</f>
        <v>65509.81931349555</v>
      </c>
      <c r="K11" s="44">
        <f>POP!Q$60</f>
        <v>65529.90528267191</v>
      </c>
    </row>
    <row r="12" spans="1:11" ht="15">
      <c r="A12" s="65" t="s">
        <v>163</v>
      </c>
      <c r="B12" s="42">
        <f>62.3%*POP!H299</f>
        <v>1457.2232529895548</v>
      </c>
      <c r="C12" s="42">
        <f>62.3%*POP!I299</f>
        <v>1512.7260021292182</v>
      </c>
      <c r="D12" s="43">
        <f>62.3%*POP!J299</f>
        <v>1566.873250392563</v>
      </c>
      <c r="E12" s="43">
        <f>POP!K299</f>
        <v>2602.25289166739</v>
      </c>
      <c r="F12" s="43">
        <f>POP!L299</f>
        <v>2691.617265179479</v>
      </c>
      <c r="G12" s="43">
        <f>POP!M299</f>
        <v>2784.36066702619</v>
      </c>
      <c r="H12" s="43">
        <f>POP!N299</f>
        <v>2880.6888825941646</v>
      </c>
      <c r="I12" s="43">
        <f>POP!O299</f>
        <v>2980.3697799878173</v>
      </c>
      <c r="J12" s="43">
        <f>POP!P299</f>
        <v>3082.86166197677</v>
      </c>
      <c r="K12" s="44">
        <f>POP!Q299</f>
        <v>3188.4229742046105</v>
      </c>
    </row>
    <row r="13" spans="1:12" ht="15">
      <c r="A13" s="65" t="s">
        <v>164</v>
      </c>
      <c r="B13" s="67">
        <f>15.9%*B12</f>
        <v>231.69849722533922</v>
      </c>
      <c r="C13" s="42">
        <f>15.9%*C12</f>
        <v>240.52343433854568</v>
      </c>
      <c r="D13" s="43">
        <f aca="true" t="shared" si="0" ref="D13:K13">15.9%*D12</f>
        <v>249.1328468124175</v>
      </c>
      <c r="E13" s="43">
        <f t="shared" si="0"/>
        <v>413.758209775115</v>
      </c>
      <c r="F13" s="43">
        <f t="shared" si="0"/>
        <v>427.96714516353717</v>
      </c>
      <c r="G13" s="43">
        <f t="shared" si="0"/>
        <v>442.71334605716424</v>
      </c>
      <c r="H13" s="43">
        <f t="shared" si="0"/>
        <v>458.0295323324722</v>
      </c>
      <c r="I13" s="43">
        <f t="shared" si="0"/>
        <v>473.878795018063</v>
      </c>
      <c r="J13" s="43">
        <f t="shared" si="0"/>
        <v>490.17500425430643</v>
      </c>
      <c r="K13" s="44">
        <f t="shared" si="0"/>
        <v>506.95925289853307</v>
      </c>
      <c r="L13" s="77" t="s">
        <v>321</v>
      </c>
    </row>
    <row r="14" spans="1:11" ht="15">
      <c r="A14" s="65" t="s">
        <v>309</v>
      </c>
      <c r="B14" s="67">
        <f>B12-B13</f>
        <v>1225.5247557642156</v>
      </c>
      <c r="C14" s="42">
        <f>C12-C13</f>
        <v>1272.2025677906724</v>
      </c>
      <c r="D14" s="43">
        <f>D12-D13</f>
        <v>1317.7404035801455</v>
      </c>
      <c r="E14" s="43">
        <f aca="true" t="shared" si="1" ref="E14:K14">E12-E13</f>
        <v>2188.494681892275</v>
      </c>
      <c r="F14" s="43">
        <f t="shared" si="1"/>
        <v>2263.650120015942</v>
      </c>
      <c r="G14" s="43">
        <f t="shared" si="1"/>
        <v>2341.6473209690257</v>
      </c>
      <c r="H14" s="43">
        <f t="shared" si="1"/>
        <v>2422.6593502616925</v>
      </c>
      <c r="I14" s="43">
        <f t="shared" si="1"/>
        <v>2506.490984969754</v>
      </c>
      <c r="J14" s="43">
        <f t="shared" si="1"/>
        <v>2592.6866577224637</v>
      </c>
      <c r="K14" s="44">
        <f t="shared" si="1"/>
        <v>2681.4637213060773</v>
      </c>
    </row>
    <row r="15" spans="1:11" ht="15">
      <c r="A15" s="65"/>
      <c r="B15" s="67"/>
      <c r="C15" s="42"/>
      <c r="D15" s="43"/>
      <c r="E15" s="43"/>
      <c r="F15" s="43"/>
      <c r="G15" s="43"/>
      <c r="H15" s="43"/>
      <c r="I15" s="43"/>
      <c r="J15" s="43"/>
      <c r="K15" s="44"/>
    </row>
    <row r="16" spans="1:11" ht="15">
      <c r="A16" s="63" t="s">
        <v>165</v>
      </c>
      <c r="B16" s="231">
        <f>22.8%*B12*500*12/1000</f>
        <v>1993.4814100897113</v>
      </c>
      <c r="C16" s="231">
        <f>22.8%*C12*500*12/1000</f>
        <v>2069.4091709127706</v>
      </c>
      <c r="D16" s="108">
        <f aca="true" t="shared" si="2" ref="D16:K16">22.8%*D12*500*12/1000</f>
        <v>2143.482606537026</v>
      </c>
      <c r="E16" s="108">
        <f t="shared" si="2"/>
        <v>3559.88195580099</v>
      </c>
      <c r="F16" s="108">
        <f t="shared" si="2"/>
        <v>3682.1324187655273</v>
      </c>
      <c r="G16" s="108">
        <f t="shared" si="2"/>
        <v>3809.005392491829</v>
      </c>
      <c r="H16" s="108">
        <f t="shared" si="2"/>
        <v>3940.782391388818</v>
      </c>
      <c r="I16" s="108">
        <f t="shared" si="2"/>
        <v>4077.1458590233347</v>
      </c>
      <c r="J16" s="108">
        <f t="shared" si="2"/>
        <v>4217.354753584221</v>
      </c>
      <c r="K16" s="99">
        <f t="shared" si="2"/>
        <v>4361.762628711907</v>
      </c>
    </row>
    <row r="17" spans="1:11" ht="15">
      <c r="A17" s="190" t="s">
        <v>120</v>
      </c>
      <c r="B17" s="232">
        <f>B16/(ECO!H28*1000)</f>
        <v>0.00018914472862338274</v>
      </c>
      <c r="C17" s="233">
        <f>C16/(ECO!I28*1000)</f>
        <v>0.00018450624878300513</v>
      </c>
      <c r="D17" s="234">
        <f>D16/(ECO!J28*1000)</f>
        <v>0.0001772522092855794</v>
      </c>
      <c r="E17" s="234">
        <f>E16/(ECO!K28*1000)</f>
        <v>0.00027190217580899234</v>
      </c>
      <c r="F17" s="234">
        <f>F16/(ECO!L28*1000)</f>
        <v>0.0002594408495970446</v>
      </c>
      <c r="G17" s="234">
        <f>G16/(ECO!M28*1000)</f>
        <v>0.0002474194681295614</v>
      </c>
      <c r="H17" s="234">
        <f>H16/(ECO!N28*1000)</f>
        <v>0.00023588770092198324</v>
      </c>
      <c r="I17" s="234">
        <f>I16/(ECO!O28*1000)</f>
        <v>0.00022481995521535705</v>
      </c>
      <c r="J17" s="234">
        <f>J16/(ECO!P28*1000)</f>
        <v>0.00021423519356933055</v>
      </c>
      <c r="K17" s="235">
        <f>K16/(ECO!Q28*1000)</f>
        <v>0.000204019173266323</v>
      </c>
    </row>
    <row r="18" spans="1:11" ht="15">
      <c r="A18" s="190" t="s">
        <v>123</v>
      </c>
      <c r="B18" s="232">
        <f>B16/('GGO (SQ)'!H11*1000)</f>
        <v>0.0007734406538669333</v>
      </c>
      <c r="C18" s="233">
        <f>C16/('GGO (SQ)'!I11*1000)</f>
        <v>0.0008695000169801629</v>
      </c>
      <c r="D18" s="234">
        <f>D16/('GGO (SQ)'!J11*1000)</f>
        <v>0.000893117752723761</v>
      </c>
      <c r="E18" s="234">
        <f>E16/('GGO (SQ)'!K11*1000)</f>
        <v>0.001377891522202977</v>
      </c>
      <c r="F18" s="234">
        <f>F16/('GGO (SQ)'!L11*1000)</f>
        <v>0.0013236729124018612</v>
      </c>
      <c r="G18" s="234">
        <f>G16/('GGO (SQ)'!M11*1000)</f>
        <v>0.0012714629221680961</v>
      </c>
      <c r="H18" s="234">
        <f>H16/('GGO (SQ)'!N11*1000)</f>
        <v>0.0012212164344922105</v>
      </c>
      <c r="I18" s="234">
        <f>I16/('GGO (SQ)'!O11*1000)</f>
        <v>0.0011727070353644191</v>
      </c>
      <c r="J18" s="234">
        <f>J16/('GGO (SQ)'!P11*1000)</f>
        <v>0.0011256407107579514</v>
      </c>
      <c r="K18" s="235">
        <f>K16/('GGO (SQ)'!Q11*1000)</f>
        <v>0.001080063140508189</v>
      </c>
    </row>
    <row r="19" spans="1:11" ht="15">
      <c r="A19" s="206"/>
      <c r="B19" s="126"/>
      <c r="C19" s="118"/>
      <c r="D19" s="117"/>
      <c r="E19" s="117"/>
      <c r="F19" s="117"/>
      <c r="G19" s="117"/>
      <c r="H19" s="117"/>
      <c r="I19" s="117"/>
      <c r="J19" s="117"/>
      <c r="K19" s="116"/>
    </row>
    <row r="20" spans="1:11" ht="15">
      <c r="A20" s="95" t="s">
        <v>279</v>
      </c>
      <c r="B20" s="126">
        <f>B14</f>
        <v>1225.5247557642156</v>
      </c>
      <c r="C20" s="118">
        <f>C14</f>
        <v>1272.2025677906724</v>
      </c>
      <c r="D20" s="117">
        <f aca="true" t="shared" si="3" ref="D20:K20">D14</f>
        <v>1317.7404035801455</v>
      </c>
      <c r="E20" s="117">
        <f t="shared" si="3"/>
        <v>2188.494681892275</v>
      </c>
      <c r="F20" s="117">
        <f t="shared" si="3"/>
        <v>2263.650120015942</v>
      </c>
      <c r="G20" s="117">
        <f t="shared" si="3"/>
        <v>2341.6473209690257</v>
      </c>
      <c r="H20" s="117">
        <f t="shared" si="3"/>
        <v>2422.6593502616925</v>
      </c>
      <c r="I20" s="117">
        <f t="shared" si="3"/>
        <v>2506.490984969754</v>
      </c>
      <c r="J20" s="117">
        <f t="shared" si="3"/>
        <v>2592.6866577224637</v>
      </c>
      <c r="K20" s="116">
        <f t="shared" si="3"/>
        <v>2681.4637213060773</v>
      </c>
    </row>
    <row r="21" spans="1:13" ht="15">
      <c r="A21" s="207" t="s">
        <v>146</v>
      </c>
      <c r="B21" s="197">
        <v>0</v>
      </c>
      <c r="C21" s="172">
        <v>0</v>
      </c>
      <c r="D21" s="173">
        <v>0</v>
      </c>
      <c r="E21" s="173">
        <v>0.2</v>
      </c>
      <c r="F21" s="173">
        <v>0.4</v>
      </c>
      <c r="G21" s="173">
        <v>0.6</v>
      </c>
      <c r="H21" s="173">
        <v>0.8</v>
      </c>
      <c r="I21" s="173">
        <v>1</v>
      </c>
      <c r="J21" s="173">
        <v>1</v>
      </c>
      <c r="K21" s="174">
        <v>1</v>
      </c>
      <c r="L21" s="203"/>
      <c r="M21" s="117"/>
    </row>
    <row r="22" spans="1:11" ht="15">
      <c r="A22" s="95" t="s">
        <v>147</v>
      </c>
      <c r="B22" s="126">
        <f>B21*B20</f>
        <v>0</v>
      </c>
      <c r="C22" s="118">
        <f>C21*C20</f>
        <v>0</v>
      </c>
      <c r="D22" s="117">
        <f aca="true" t="shared" si="4" ref="D22:K22">D21*D20</f>
        <v>0</v>
      </c>
      <c r="E22" s="117">
        <f t="shared" si="4"/>
        <v>437.698936378455</v>
      </c>
      <c r="F22" s="117">
        <f t="shared" si="4"/>
        <v>905.4600480063768</v>
      </c>
      <c r="G22" s="117">
        <f t="shared" si="4"/>
        <v>1404.9883925814154</v>
      </c>
      <c r="H22" s="117">
        <f t="shared" si="4"/>
        <v>1938.127480209354</v>
      </c>
      <c r="I22" s="117">
        <f t="shared" si="4"/>
        <v>2506.490984969754</v>
      </c>
      <c r="J22" s="117">
        <f t="shared" si="4"/>
        <v>2592.6866577224637</v>
      </c>
      <c r="K22" s="116">
        <f t="shared" si="4"/>
        <v>2681.4637213060773</v>
      </c>
    </row>
    <row r="23" spans="1:11" ht="15">
      <c r="A23" s="190"/>
      <c r="B23" s="145"/>
      <c r="C23" s="198"/>
      <c r="D23" s="147"/>
      <c r="E23" s="147"/>
      <c r="F23" s="147"/>
      <c r="G23" s="147"/>
      <c r="H23" s="147"/>
      <c r="I23" s="147"/>
      <c r="J23" s="147"/>
      <c r="K23" s="199"/>
    </row>
    <row r="24" spans="1:11" ht="15">
      <c r="A24" s="95" t="s">
        <v>180</v>
      </c>
      <c r="B24" s="126">
        <f>ECO!H20*12</f>
        <v>20900.422222222223</v>
      </c>
      <c r="C24" s="118">
        <f>ECO!I20*12</f>
        <v>21533.705015555555</v>
      </c>
      <c r="D24" s="117">
        <f>ECO!J20*12</f>
        <v>22054.820676932</v>
      </c>
      <c r="E24" s="117">
        <f>ECO!K20*12</f>
        <v>22615.01312212607</v>
      </c>
      <c r="F24" s="117">
        <f>ECO!L20*12</f>
        <v>23173.603946242583</v>
      </c>
      <c r="G24" s="117">
        <f>ECO!M20*12</f>
        <v>23750.626684504023</v>
      </c>
      <c r="H24" s="117">
        <f>ECO!N20*12</f>
        <v>24346.76741428507</v>
      </c>
      <c r="I24" s="117">
        <f>ECO!O20*12</f>
        <v>24962.740629866486</v>
      </c>
      <c r="J24" s="117">
        <f>ECO!P20*12</f>
        <v>25576.824049361203</v>
      </c>
      <c r="K24" s="116">
        <f>ECO!Q20*12</f>
        <v>26229.033062619917</v>
      </c>
    </row>
    <row r="25" spans="1:11" ht="15">
      <c r="A25" s="95" t="s">
        <v>187</v>
      </c>
      <c r="B25" s="118">
        <f>B24*B22/1000</f>
        <v>0</v>
      </c>
      <c r="C25" s="118">
        <f>C24*C22/1000</f>
        <v>0</v>
      </c>
      <c r="D25" s="117">
        <f>D24*D22/1000</f>
        <v>0</v>
      </c>
      <c r="E25" s="117">
        <f aca="true" t="shared" si="5" ref="E25:J25">E24*E22/1000</f>
        <v>9898.567189739384</v>
      </c>
      <c r="F25" s="117">
        <f t="shared" si="5"/>
        <v>20982.772541645572</v>
      </c>
      <c r="G25" s="117">
        <f t="shared" si="5"/>
        <v>33369.35480826258</v>
      </c>
      <c r="H25" s="117">
        <f t="shared" si="5"/>
        <v>47187.13897989153</v>
      </c>
      <c r="I25" s="117">
        <f t="shared" si="5"/>
        <v>62568.88434889855</v>
      </c>
      <c r="J25" s="117">
        <f t="shared" si="5"/>
        <v>66312.69045969383</v>
      </c>
      <c r="K25" s="116">
        <f>K24*K22/1000</f>
        <v>70332.20060235295</v>
      </c>
    </row>
    <row r="26" spans="1:11" ht="15">
      <c r="A26" s="95"/>
      <c r="B26" s="205"/>
      <c r="C26" s="146"/>
      <c r="D26" s="147"/>
      <c r="E26" s="147"/>
      <c r="F26" s="147"/>
      <c r="G26" s="147"/>
      <c r="H26" s="147"/>
      <c r="I26" s="147"/>
      <c r="J26" s="147"/>
      <c r="K26" s="199"/>
    </row>
    <row r="27" spans="1:12" ht="15">
      <c r="A27" s="184" t="s">
        <v>197</v>
      </c>
      <c r="B27" s="116">
        <f>10%*B25</f>
        <v>0</v>
      </c>
      <c r="C27" s="118">
        <f>10%*C25</f>
        <v>0</v>
      </c>
      <c r="D27" s="117">
        <f>10%*D25</f>
        <v>0</v>
      </c>
      <c r="E27" s="117">
        <f aca="true" t="shared" si="6" ref="E27:J27">10%*E25</f>
        <v>989.8567189739384</v>
      </c>
      <c r="F27" s="117">
        <f t="shared" si="6"/>
        <v>2098.2772541645572</v>
      </c>
      <c r="G27" s="117">
        <f t="shared" si="6"/>
        <v>3336.935480826258</v>
      </c>
      <c r="H27" s="117">
        <f t="shared" si="6"/>
        <v>4718.713897989153</v>
      </c>
      <c r="I27" s="117">
        <f t="shared" si="6"/>
        <v>6256.8884348898555</v>
      </c>
      <c r="J27" s="117">
        <f t="shared" si="6"/>
        <v>6631.269045969383</v>
      </c>
      <c r="K27" s="116">
        <f>10%*K25</f>
        <v>7033.220060235296</v>
      </c>
      <c r="L27" s="77" t="s">
        <v>280</v>
      </c>
    </row>
    <row r="28" spans="1:11" ht="15">
      <c r="A28" s="65"/>
      <c r="B28" s="67"/>
      <c r="C28" s="42"/>
      <c r="D28" s="43"/>
      <c r="E28" s="43"/>
      <c r="F28" s="43"/>
      <c r="G28" s="43"/>
      <c r="H28" s="43"/>
      <c r="I28" s="43"/>
      <c r="J28" s="43"/>
      <c r="K28" s="44"/>
    </row>
    <row r="29" spans="1:11" ht="15">
      <c r="A29" s="63" t="s">
        <v>235</v>
      </c>
      <c r="B29" s="209">
        <f>B25+B27</f>
        <v>0</v>
      </c>
      <c r="C29" s="209">
        <f>C25+C27</f>
        <v>0</v>
      </c>
      <c r="D29" s="210">
        <f>D25+D27</f>
        <v>0</v>
      </c>
      <c r="E29" s="210">
        <f aca="true" t="shared" si="7" ref="E29:J29">E25+E27</f>
        <v>10888.423908713323</v>
      </c>
      <c r="F29" s="210">
        <f t="shared" si="7"/>
        <v>23081.04979581013</v>
      </c>
      <c r="G29" s="210">
        <f t="shared" si="7"/>
        <v>36706.290289088836</v>
      </c>
      <c r="H29" s="210">
        <f t="shared" si="7"/>
        <v>51905.85287788069</v>
      </c>
      <c r="I29" s="210">
        <f t="shared" si="7"/>
        <v>68825.7727837884</v>
      </c>
      <c r="J29" s="210">
        <f t="shared" si="7"/>
        <v>72943.95950566321</v>
      </c>
      <c r="K29" s="211">
        <f>K25+K27</f>
        <v>77365.42066258825</v>
      </c>
    </row>
    <row r="30" spans="1:11" ht="15">
      <c r="A30" s="190" t="s">
        <v>120</v>
      </c>
      <c r="B30" s="212">
        <f>B29/(ECO!H28*1000)</f>
        <v>0</v>
      </c>
      <c r="C30" s="127">
        <f>C29/(ECO!I28*1000)</f>
        <v>0</v>
      </c>
      <c r="D30" s="128">
        <f>D29/(ECO!J28*1000)</f>
        <v>0</v>
      </c>
      <c r="E30" s="128">
        <f>E29/(ECO!K28*1000)</f>
        <v>0.000831652899918604</v>
      </c>
      <c r="F30" s="128">
        <f>F29/(ECO!L28*1000)</f>
        <v>0.0016262769742062312</v>
      </c>
      <c r="G30" s="128">
        <f>G29/(ECO!M28*1000)</f>
        <v>0.0023843103079448126</v>
      </c>
      <c r="H30" s="128">
        <f>H29/(ECO!N28*1000)</f>
        <v>0.003106985132321134</v>
      </c>
      <c r="I30" s="128">
        <f>I29/(ECO!O28*1000)</f>
        <v>0.003795156634062694</v>
      </c>
      <c r="J30" s="128">
        <f>J29/(ECO!P28*1000)</f>
        <v>0.003705441964806979</v>
      </c>
      <c r="K30" s="129">
        <f>K29/(ECO!Q28*1000)</f>
        <v>0.0036187272225870334</v>
      </c>
    </row>
    <row r="31" spans="1:11" ht="15">
      <c r="A31" s="259" t="s">
        <v>123</v>
      </c>
      <c r="B31" s="212">
        <f>B29/('GGO (SQ)'!H11*1000)</f>
        <v>0</v>
      </c>
      <c r="C31" s="127">
        <f>C29/('GGO (SQ)'!I11*1000)</f>
        <v>0</v>
      </c>
      <c r="D31" s="128">
        <f>D29/('GGO (SQ)'!J11*1000)</f>
        <v>0</v>
      </c>
      <c r="E31" s="128">
        <f>E29/('GGO (SQ)'!K11*1000)</f>
        <v>0.004214484407136059</v>
      </c>
      <c r="F31" s="128">
        <f>F29/('GGO (SQ)'!L11*1000)</f>
        <v>0.008297300838179842</v>
      </c>
      <c r="G31" s="128">
        <f>G29/('GGO (SQ)'!M11*1000)</f>
        <v>0.012252722772435776</v>
      </c>
      <c r="H31" s="128">
        <f>H29/('GGO (SQ)'!N11*1000)</f>
        <v>0.016085201943480894</v>
      </c>
      <c r="I31" s="128">
        <f>I29/('GGO (SQ)'!O11*1000)</f>
        <v>0.019796316037924627</v>
      </c>
      <c r="J31" s="128">
        <f>J29/('GGO (SQ)'!P11*1000)</f>
        <v>0.019469239658739146</v>
      </c>
      <c r="K31" s="129">
        <f>K29/('GGO (SQ)'!Q11*1000)</f>
        <v>0.019157287161279696</v>
      </c>
    </row>
    <row r="32" spans="1:11" ht="15">
      <c r="A32" s="190"/>
      <c r="B32" s="127"/>
      <c r="C32" s="127"/>
      <c r="D32" s="128"/>
      <c r="E32" s="210"/>
      <c r="F32" s="210"/>
      <c r="G32" s="210"/>
      <c r="H32" s="210"/>
      <c r="I32" s="210"/>
      <c r="J32" s="210"/>
      <c r="K32" s="211"/>
    </row>
    <row r="33" spans="1:12" ht="15">
      <c r="A33" s="502" t="s">
        <v>283</v>
      </c>
      <c r="B33" s="498">
        <f>IF(B29-B16&lt;0,0,B29-B16)</f>
        <v>0</v>
      </c>
      <c r="C33" s="500">
        <f aca="true" t="shared" si="8" ref="C33:K33">IF(C29-C16&lt;0,0,C29-C16)</f>
        <v>0</v>
      </c>
      <c r="D33" s="500">
        <f t="shared" si="8"/>
        <v>0</v>
      </c>
      <c r="E33" s="500">
        <f t="shared" si="8"/>
        <v>7328.541952912333</v>
      </c>
      <c r="F33" s="500">
        <f t="shared" si="8"/>
        <v>19398.917377044603</v>
      </c>
      <c r="G33" s="500">
        <f t="shared" si="8"/>
        <v>32897.284896597004</v>
      </c>
      <c r="H33" s="500">
        <f t="shared" si="8"/>
        <v>47965.070486491866</v>
      </c>
      <c r="I33" s="500">
        <f t="shared" si="8"/>
        <v>64748.62692476506</v>
      </c>
      <c r="J33" s="500">
        <f t="shared" si="8"/>
        <v>68726.60475207899</v>
      </c>
      <c r="K33" s="501">
        <f t="shared" si="8"/>
        <v>73003.65803387635</v>
      </c>
      <c r="L33" s="77" t="s">
        <v>281</v>
      </c>
    </row>
    <row r="34" spans="1:11" ht="15">
      <c r="A34" s="510" t="s">
        <v>120</v>
      </c>
      <c r="B34" s="515">
        <f>B33/(ECO!H28*1000)</f>
        <v>0</v>
      </c>
      <c r="C34" s="515">
        <f>C33/(ECO!I28*1000)</f>
        <v>0</v>
      </c>
      <c r="D34" s="516">
        <f>D33/(ECO!J28*1000)</f>
        <v>0</v>
      </c>
      <c r="E34" s="516">
        <f>E33/(ECO!K28*1000)</f>
        <v>0.0005597507241096117</v>
      </c>
      <c r="F34" s="516">
        <f>F33/(ECO!L28*1000)</f>
        <v>0.0013668361246091866</v>
      </c>
      <c r="G34" s="516">
        <f>G33/(ECO!M28*1000)</f>
        <v>0.002136890839815251</v>
      </c>
      <c r="H34" s="516">
        <f>H33/(ECO!N28*1000)</f>
        <v>0.0028710974313991507</v>
      </c>
      <c r="I34" s="516">
        <f>I33/(ECO!O28*1000)</f>
        <v>0.0035703366788473363</v>
      </c>
      <c r="J34" s="516">
        <f>J33/(ECO!P28*1000)</f>
        <v>0.003491206771237648</v>
      </c>
      <c r="K34" s="517">
        <f>K33/(ECO!Q28*1000)</f>
        <v>0.0034147080493207105</v>
      </c>
    </row>
    <row r="35" spans="1:11" ht="15">
      <c r="A35" s="511" t="s">
        <v>234</v>
      </c>
      <c r="B35" s="507">
        <f>B33/('GGO (SQ)'!H11*1000)</f>
        <v>0</v>
      </c>
      <c r="C35" s="513">
        <f>C33/('GGO (SQ)'!I11*1000)</f>
        <v>0</v>
      </c>
      <c r="D35" s="508">
        <f>D33/('GGO (SQ)'!J11*1000)</f>
        <v>0</v>
      </c>
      <c r="E35" s="508">
        <f>E33/('GGO (SQ)'!K11*1000)</f>
        <v>0.0028365928849330823</v>
      </c>
      <c r="F35" s="508">
        <f>F33/('GGO (SQ)'!L11*1000)</f>
        <v>0.006973627925777982</v>
      </c>
      <c r="G35" s="508">
        <f>G33/('GGO (SQ)'!M11*1000)</f>
        <v>0.01098125985026768</v>
      </c>
      <c r="H35" s="508">
        <f>H33/('GGO (SQ)'!N11*1000)</f>
        <v>0.014863985508988682</v>
      </c>
      <c r="I35" s="508">
        <f>I33/('GGO (SQ)'!O11*1000)</f>
        <v>0.01862360900256021</v>
      </c>
      <c r="J35" s="508">
        <f>J33/('GGO (SQ)'!P11*1000)</f>
        <v>0.018343598947981193</v>
      </c>
      <c r="K35" s="509">
        <f>K33/('GGO (SQ)'!Q11*1000)</f>
        <v>0.01807722402077151</v>
      </c>
    </row>
    <row r="36" spans="1:11" ht="15">
      <c r="A36" s="63"/>
      <c r="B36" s="69"/>
      <c r="C36" s="69"/>
      <c r="D36" s="69"/>
      <c r="E36" s="69"/>
      <c r="F36" s="69"/>
      <c r="G36" s="69"/>
      <c r="H36" s="69"/>
      <c r="I36" s="69"/>
      <c r="J36" s="69"/>
      <c r="K36" s="125"/>
    </row>
    <row r="37" spans="1:11" ht="15">
      <c r="A37" s="607" t="s">
        <v>349</v>
      </c>
      <c r="B37" s="608"/>
      <c r="C37" s="608"/>
      <c r="D37" s="608"/>
      <c r="E37" s="608"/>
      <c r="F37" s="608"/>
      <c r="G37" s="608"/>
      <c r="H37" s="608"/>
      <c r="I37" s="608"/>
      <c r="J37" s="608"/>
      <c r="K37" s="609"/>
    </row>
    <row r="38" spans="1:11" ht="15">
      <c r="A38" s="65" t="s">
        <v>121</v>
      </c>
      <c r="B38" s="67">
        <f>POP!H$60</f>
        <v>64082.42121420116</v>
      </c>
      <c r="C38" s="42">
        <f>POP!I$60</f>
        <v>64360.18766125533</v>
      </c>
      <c r="D38" s="43">
        <f>POP!J$60</f>
        <v>64623.04486955623</v>
      </c>
      <c r="E38" s="43">
        <f>POP!K$60</f>
        <v>64764.57009053384</v>
      </c>
      <c r="F38" s="43">
        <f>POP!L$60</f>
        <v>64996.1397053735</v>
      </c>
      <c r="G38" s="43">
        <f>POP!M$60</f>
        <v>65104.80693273373</v>
      </c>
      <c r="H38" s="43">
        <f>POP!N$60</f>
        <v>65297.291041412514</v>
      </c>
      <c r="I38" s="43">
        <f>POP!O$60</f>
        <v>65361.40095234717</v>
      </c>
      <c r="J38" s="43">
        <f>POP!P$60</f>
        <v>65509.81931349555</v>
      </c>
      <c r="K38" s="44">
        <f>POP!Q$60</f>
        <v>65529.90528267191</v>
      </c>
    </row>
    <row r="39" spans="1:11" ht="15">
      <c r="A39" s="65" t="s">
        <v>166</v>
      </c>
      <c r="B39" s="42">
        <f>SUM(POP!H284:H299)</f>
        <v>8750.909773762494</v>
      </c>
      <c r="C39" s="42">
        <f>SUM(POP!I284:I299)</f>
        <v>9122.266588735813</v>
      </c>
      <c r="D39" s="43">
        <f>SUM(POP!J284:J299)</f>
        <v>9517.05234007736</v>
      </c>
      <c r="E39" s="43">
        <f>SUM(POP!K284:K299)</f>
        <v>9928.34607372732</v>
      </c>
      <c r="F39" s="43">
        <f>SUM(POP!L284:L299)</f>
        <v>10351.093119760824</v>
      </c>
      <c r="G39" s="43">
        <f>SUM(POP!M284:M299)</f>
        <v>10783.377556226978</v>
      </c>
      <c r="H39" s="43">
        <f>SUM(POP!N284:N299)</f>
        <v>11225.82163963464</v>
      </c>
      <c r="I39" s="43">
        <f>SUM(POP!O284:O299)</f>
        <v>11678.958363378839</v>
      </c>
      <c r="J39" s="43">
        <f>SUM(POP!P284:P299)</f>
        <v>12144.101431606283</v>
      </c>
      <c r="K39" s="44">
        <f>SUM(POP!Q284:Q299)</f>
        <v>12621.655270063577</v>
      </c>
    </row>
    <row r="40" spans="1:11" ht="15">
      <c r="A40" s="65" t="s">
        <v>167</v>
      </c>
      <c r="B40" s="67">
        <f>62.3%*B39</f>
        <v>5451.8167890540335</v>
      </c>
      <c r="C40" s="43">
        <f>62.3%*C39</f>
        <v>5683.172084782411</v>
      </c>
      <c r="D40" s="43">
        <f aca="true" t="shared" si="9" ref="D40:K40">62.3%*D39</f>
        <v>5929.123607868195</v>
      </c>
      <c r="E40" s="43">
        <f t="shared" si="9"/>
        <v>6185.35960393212</v>
      </c>
      <c r="F40" s="43">
        <f t="shared" si="9"/>
        <v>6448.731013610994</v>
      </c>
      <c r="G40" s="43">
        <f t="shared" si="9"/>
        <v>6718.044217529407</v>
      </c>
      <c r="H40" s="43">
        <f t="shared" si="9"/>
        <v>6993.686881492381</v>
      </c>
      <c r="I40" s="43">
        <f t="shared" si="9"/>
        <v>7275.991060385017</v>
      </c>
      <c r="J40" s="43">
        <f t="shared" si="9"/>
        <v>7565.775191890714</v>
      </c>
      <c r="K40" s="44">
        <f t="shared" si="9"/>
        <v>7863.291233249608</v>
      </c>
    </row>
    <row r="41" spans="1:11" ht="15">
      <c r="A41" s="65" t="s">
        <v>282</v>
      </c>
      <c r="B41" s="67">
        <f>15.9%*B40</f>
        <v>866.8388694595914</v>
      </c>
      <c r="C41" s="43">
        <f>15.9%*C40</f>
        <v>903.6243614804033</v>
      </c>
      <c r="D41" s="43">
        <f aca="true" t="shared" si="10" ref="D41:K41">15.9%*D40</f>
        <v>942.730653651043</v>
      </c>
      <c r="E41" s="43">
        <f t="shared" si="10"/>
        <v>983.4721770252071</v>
      </c>
      <c r="F41" s="43">
        <f t="shared" si="10"/>
        <v>1025.348231164148</v>
      </c>
      <c r="G41" s="43">
        <f t="shared" si="10"/>
        <v>1068.1690305871757</v>
      </c>
      <c r="H41" s="43">
        <f t="shared" si="10"/>
        <v>1111.9962141572885</v>
      </c>
      <c r="I41" s="43">
        <f t="shared" si="10"/>
        <v>1156.8825786012176</v>
      </c>
      <c r="J41" s="43">
        <f t="shared" si="10"/>
        <v>1202.9582555106235</v>
      </c>
      <c r="K41" s="44">
        <f t="shared" si="10"/>
        <v>1250.2633060866876</v>
      </c>
    </row>
    <row r="42" spans="1:11" ht="15">
      <c r="A42" s="65" t="s">
        <v>309</v>
      </c>
      <c r="B42" s="67">
        <f>B40-B41</f>
        <v>4584.977919594442</v>
      </c>
      <c r="C42" s="43">
        <f>C40-C41</f>
        <v>4779.547723302007</v>
      </c>
      <c r="D42" s="43">
        <f aca="true" t="shared" si="11" ref="D42:K42">D40-D41</f>
        <v>4986.392954217152</v>
      </c>
      <c r="E42" s="43">
        <f t="shared" si="11"/>
        <v>5201.887426906913</v>
      </c>
      <c r="F42" s="43">
        <f t="shared" si="11"/>
        <v>5423.382782446845</v>
      </c>
      <c r="G42" s="43">
        <f t="shared" si="11"/>
        <v>5649.875186942232</v>
      </c>
      <c r="H42" s="43">
        <f t="shared" si="11"/>
        <v>5881.690667335092</v>
      </c>
      <c r="I42" s="43">
        <f t="shared" si="11"/>
        <v>6119.108481783799</v>
      </c>
      <c r="J42" s="43">
        <f t="shared" si="11"/>
        <v>6362.816936380091</v>
      </c>
      <c r="K42" s="44">
        <f t="shared" si="11"/>
        <v>6613.027927162921</v>
      </c>
    </row>
    <row r="43" spans="1:11" ht="15">
      <c r="A43" s="64"/>
      <c r="B43" s="67"/>
      <c r="C43" s="43"/>
      <c r="D43" s="43"/>
      <c r="E43" s="43"/>
      <c r="F43" s="43"/>
      <c r="G43" s="43"/>
      <c r="H43" s="43"/>
      <c r="I43" s="43"/>
      <c r="J43" s="43"/>
      <c r="K43" s="44"/>
    </row>
    <row r="44" spans="1:11" ht="15">
      <c r="A44" s="95" t="s">
        <v>122</v>
      </c>
      <c r="B44" s="126">
        <f>B42</f>
        <v>4584.977919594442</v>
      </c>
      <c r="C44" s="117">
        <f>C42</f>
        <v>4779.547723302007</v>
      </c>
      <c r="D44" s="117">
        <f aca="true" t="shared" si="12" ref="D44:K44">D42</f>
        <v>4986.392954217152</v>
      </c>
      <c r="E44" s="117">
        <f t="shared" si="12"/>
        <v>5201.887426906913</v>
      </c>
      <c r="F44" s="117">
        <f t="shared" si="12"/>
        <v>5423.382782446845</v>
      </c>
      <c r="G44" s="117">
        <f t="shared" si="12"/>
        <v>5649.875186942232</v>
      </c>
      <c r="H44" s="117">
        <f t="shared" si="12"/>
        <v>5881.690667335092</v>
      </c>
      <c r="I44" s="117">
        <f t="shared" si="12"/>
        <v>6119.108481783799</v>
      </c>
      <c r="J44" s="117">
        <f t="shared" si="12"/>
        <v>6362.816936380091</v>
      </c>
      <c r="K44" s="116">
        <f t="shared" si="12"/>
        <v>6613.027927162921</v>
      </c>
    </row>
    <row r="45" spans="1:13" ht="15">
      <c r="A45" s="95" t="s">
        <v>146</v>
      </c>
      <c r="B45" s="197">
        <v>0</v>
      </c>
      <c r="C45" s="173">
        <v>0</v>
      </c>
      <c r="D45" s="173">
        <v>0</v>
      </c>
      <c r="E45" s="173">
        <v>0.2</v>
      </c>
      <c r="F45" s="173">
        <v>0.4</v>
      </c>
      <c r="G45" s="173">
        <v>0.6</v>
      </c>
      <c r="H45" s="173">
        <v>0.8</v>
      </c>
      <c r="I45" s="173">
        <v>1</v>
      </c>
      <c r="J45" s="173">
        <v>1</v>
      </c>
      <c r="K45" s="174">
        <v>1</v>
      </c>
      <c r="L45" s="203"/>
      <c r="M45" s="117"/>
    </row>
    <row r="46" spans="1:11" ht="15">
      <c r="A46" s="95" t="s">
        <v>147</v>
      </c>
      <c r="B46" s="126">
        <f>B45*B44</f>
        <v>0</v>
      </c>
      <c r="C46" s="117">
        <f>C45*C44</f>
        <v>0</v>
      </c>
      <c r="D46" s="117">
        <f aca="true" t="shared" si="13" ref="D46:K46">D45*D44</f>
        <v>0</v>
      </c>
      <c r="E46" s="117">
        <f t="shared" si="13"/>
        <v>1040.3774853813827</v>
      </c>
      <c r="F46" s="117">
        <f t="shared" si="13"/>
        <v>2169.3531129787384</v>
      </c>
      <c r="G46" s="117">
        <f t="shared" si="13"/>
        <v>3389.925112165339</v>
      </c>
      <c r="H46" s="117">
        <f t="shared" si="13"/>
        <v>4705.352533868074</v>
      </c>
      <c r="I46" s="117">
        <f t="shared" si="13"/>
        <v>6119.108481783799</v>
      </c>
      <c r="J46" s="117">
        <f t="shared" si="13"/>
        <v>6362.816936380091</v>
      </c>
      <c r="K46" s="116">
        <f t="shared" si="13"/>
        <v>6613.027927162921</v>
      </c>
    </row>
    <row r="47" spans="1:11" ht="15">
      <c r="A47" s="190"/>
      <c r="B47" s="145"/>
      <c r="C47" s="136"/>
      <c r="D47" s="147"/>
      <c r="E47" s="147"/>
      <c r="F47" s="147"/>
      <c r="G47" s="147"/>
      <c r="H47" s="147"/>
      <c r="I47" s="147"/>
      <c r="J47" s="147"/>
      <c r="K47" s="199"/>
    </row>
    <row r="48" spans="1:11" ht="15">
      <c r="A48" s="171" t="s">
        <v>180</v>
      </c>
      <c r="B48" s="126">
        <f>ECO!H20*12</f>
        <v>20900.422222222223</v>
      </c>
      <c r="C48" s="118">
        <f>ECO!I20*12</f>
        <v>21533.705015555555</v>
      </c>
      <c r="D48" s="117">
        <f>ECO!J20*12</f>
        <v>22054.820676932</v>
      </c>
      <c r="E48" s="117">
        <f>ECO!K20*12</f>
        <v>22615.01312212607</v>
      </c>
      <c r="F48" s="117">
        <f>ECO!L20*12</f>
        <v>23173.603946242583</v>
      </c>
      <c r="G48" s="117">
        <f>ECO!M20*12</f>
        <v>23750.626684504023</v>
      </c>
      <c r="H48" s="117">
        <f>ECO!N20*12</f>
        <v>24346.76741428507</v>
      </c>
      <c r="I48" s="117">
        <f>ECO!O20*12</f>
        <v>24962.740629866486</v>
      </c>
      <c r="J48" s="117">
        <f>ECO!P20*12</f>
        <v>25576.824049361203</v>
      </c>
      <c r="K48" s="116">
        <f>ECO!Q20*12</f>
        <v>26229.033062619917</v>
      </c>
    </row>
    <row r="49" spans="1:11" ht="15">
      <c r="A49" s="95" t="s">
        <v>187</v>
      </c>
      <c r="B49" s="126">
        <f>B48*B46/1000</f>
        <v>0</v>
      </c>
      <c r="C49" s="117">
        <f>C48*C46/1000</f>
        <v>0</v>
      </c>
      <c r="D49" s="117">
        <f>D48*D46/1000</f>
        <v>0</v>
      </c>
      <c r="E49" s="117">
        <f aca="true" t="shared" si="14" ref="E49:J49">E48*E46/1000</f>
        <v>23528.150483864494</v>
      </c>
      <c r="F49" s="117">
        <f t="shared" si="14"/>
        <v>50271.72985971773</v>
      </c>
      <c r="G49" s="117">
        <f t="shared" si="14"/>
        <v>80512.8458274644</v>
      </c>
      <c r="H49" s="117">
        <f t="shared" si="14"/>
        <v>114560.12374430291</v>
      </c>
      <c r="I49" s="117">
        <f t="shared" si="14"/>
        <v>152749.71791678507</v>
      </c>
      <c r="J49" s="117">
        <f t="shared" si="14"/>
        <v>162740.6492400891</v>
      </c>
      <c r="K49" s="116">
        <f>K48*K46/1000</f>
        <v>173453.32814558508</v>
      </c>
    </row>
    <row r="50" spans="1:11" ht="15">
      <c r="A50" s="95"/>
      <c r="B50" s="205"/>
      <c r="C50" s="147"/>
      <c r="D50" s="147"/>
      <c r="E50" s="147"/>
      <c r="F50" s="147"/>
      <c r="G50" s="147"/>
      <c r="H50" s="147"/>
      <c r="I50" s="147"/>
      <c r="J50" s="147"/>
      <c r="K50" s="199"/>
    </row>
    <row r="51" spans="1:11" ht="15">
      <c r="A51" s="184" t="s">
        <v>197</v>
      </c>
      <c r="B51" s="116">
        <f>10%*B49</f>
        <v>0</v>
      </c>
      <c r="C51" s="117">
        <f>10%*C49</f>
        <v>0</v>
      </c>
      <c r="D51" s="117">
        <f>10%*D49</f>
        <v>0</v>
      </c>
      <c r="E51" s="117">
        <f aca="true" t="shared" si="15" ref="E51:J51">10%*E49</f>
        <v>2352.8150483864497</v>
      </c>
      <c r="F51" s="117">
        <f t="shared" si="15"/>
        <v>5027.172985971773</v>
      </c>
      <c r="G51" s="117">
        <f t="shared" si="15"/>
        <v>8051.284582746441</v>
      </c>
      <c r="H51" s="117">
        <f t="shared" si="15"/>
        <v>11456.012374430291</v>
      </c>
      <c r="I51" s="117">
        <f t="shared" si="15"/>
        <v>15274.971791678508</v>
      </c>
      <c r="J51" s="117">
        <f t="shared" si="15"/>
        <v>16274.06492400891</v>
      </c>
      <c r="K51" s="116">
        <f>10%*K49</f>
        <v>17345.332814558507</v>
      </c>
    </row>
    <row r="52" spans="1:11" ht="15">
      <c r="A52" s="95"/>
      <c r="B52" s="126"/>
      <c r="C52" s="117"/>
      <c r="D52" s="117"/>
      <c r="E52" s="117"/>
      <c r="F52" s="117"/>
      <c r="G52" s="117"/>
      <c r="H52" s="117"/>
      <c r="I52" s="117"/>
      <c r="J52" s="117"/>
      <c r="K52" s="116"/>
    </row>
    <row r="53" spans="1:11" s="147" customFormat="1" ht="15">
      <c r="A53" s="259" t="s">
        <v>235</v>
      </c>
      <c r="B53" s="209">
        <f>B49+B51</f>
        <v>0</v>
      </c>
      <c r="C53" s="209">
        <f>C49+C51</f>
        <v>0</v>
      </c>
      <c r="D53" s="210">
        <f>D49+D51</f>
        <v>0</v>
      </c>
      <c r="E53" s="210">
        <f aca="true" t="shared" si="16" ref="E53:J53">E49+E51</f>
        <v>25880.965532250942</v>
      </c>
      <c r="F53" s="210">
        <f t="shared" si="16"/>
        <v>55298.9028456895</v>
      </c>
      <c r="G53" s="210">
        <f t="shared" si="16"/>
        <v>88564.13041021084</v>
      </c>
      <c r="H53" s="210">
        <f t="shared" si="16"/>
        <v>126016.13611873321</v>
      </c>
      <c r="I53" s="210">
        <f t="shared" si="16"/>
        <v>168024.6897084636</v>
      </c>
      <c r="J53" s="210">
        <f t="shared" si="16"/>
        <v>179014.714164098</v>
      </c>
      <c r="K53" s="211">
        <f>K49+K51</f>
        <v>190798.66096014358</v>
      </c>
    </row>
    <row r="54" spans="1:11" s="147" customFormat="1" ht="15">
      <c r="A54" s="259" t="s">
        <v>120</v>
      </c>
      <c r="B54" s="127">
        <f>B53/(ECO!H28*1000)</f>
        <v>0</v>
      </c>
      <c r="C54" s="127">
        <f>C53/(ECO!I28*1000)</f>
        <v>0</v>
      </c>
      <c r="D54" s="128">
        <f>D53/(ECO!J28*1000)</f>
        <v>0</v>
      </c>
      <c r="E54" s="128">
        <f>E53/(ECO!K28*1000)</f>
        <v>0.001976776457092715</v>
      </c>
      <c r="F54" s="128">
        <f>F53/(ECO!L28*1000)</f>
        <v>0.0038963276450769313</v>
      </c>
      <c r="G54" s="128">
        <f>G53/(ECO!M28*1000)</f>
        <v>0.00575281150419072</v>
      </c>
      <c r="H54" s="128">
        <f>H53/(ECO!N28*1000)</f>
        <v>0.007543085021155836</v>
      </c>
      <c r="I54" s="128">
        <f>I53/(ECO!O28*1000)</f>
        <v>0.009265134121147186</v>
      </c>
      <c r="J54" s="128">
        <f>J53/(ECO!P28*1000)</f>
        <v>0.009093674632922492</v>
      </c>
      <c r="K54" s="129">
        <f>K53/(ECO!Q28*1000)</f>
        <v>0.008924507907232343</v>
      </c>
    </row>
    <row r="55" spans="1:11" s="147" customFormat="1" ht="15">
      <c r="A55" s="259" t="s">
        <v>123</v>
      </c>
      <c r="B55" s="127">
        <f>B53/('GGO (SQ)'!H11*1000)</f>
        <v>0</v>
      </c>
      <c r="C55" s="127">
        <f>C53/('GGO (SQ)'!I11*1000)</f>
        <v>0</v>
      </c>
      <c r="D55" s="128">
        <f>D53/('GGO (SQ)'!J11*1000)</f>
        <v>0</v>
      </c>
      <c r="E55" s="128">
        <f>E53/('GGO (SQ)'!K11*1000)</f>
        <v>0.01001751278162596</v>
      </c>
      <c r="F55" s="128">
        <f>F53/('GGO (SQ)'!L11*1000)</f>
        <v>0.019879149215095763</v>
      </c>
      <c r="G55" s="128">
        <f>G53/('GGO (SQ)'!M11*1000)</f>
        <v>0.029563100192141457</v>
      </c>
      <c r="H55" s="128">
        <f>H53/('GGO (SQ)'!N11*1000)</f>
        <v>0.0390513763905571</v>
      </c>
      <c r="I55" s="128">
        <f>I53/('GGO (SQ)'!O11*1000)</f>
        <v>0.04832884143694576</v>
      </c>
      <c r="J55" s="128">
        <f>J53/('GGO (SQ)'!P11*1000)</f>
        <v>0.047780246590958905</v>
      </c>
      <c r="K55" s="129">
        <f>K53/('GGO (SQ)'!Q11*1000)</f>
        <v>0.04724571658367084</v>
      </c>
    </row>
    <row r="56" spans="1:11" ht="15">
      <c r="A56" s="190"/>
      <c r="B56" s="127"/>
      <c r="C56" s="127"/>
      <c r="D56" s="128"/>
      <c r="E56" s="128"/>
      <c r="F56" s="128"/>
      <c r="G56" s="128"/>
      <c r="H56" s="128"/>
      <c r="I56" s="128"/>
      <c r="J56" s="128"/>
      <c r="K56" s="129"/>
    </row>
    <row r="57" spans="1:11" ht="15">
      <c r="A57" s="502" t="s">
        <v>284</v>
      </c>
      <c r="B57" s="499">
        <f>IF(B53-B16&lt;0,0,B53-B16)</f>
        <v>0</v>
      </c>
      <c r="C57" s="499">
        <f aca="true" t="shared" si="17" ref="C57:K57">IF(C53-C16&lt;0,0,C53-C16)</f>
        <v>0</v>
      </c>
      <c r="D57" s="500">
        <f t="shared" si="17"/>
        <v>0</v>
      </c>
      <c r="E57" s="500">
        <f t="shared" si="17"/>
        <v>22321.083576449953</v>
      </c>
      <c r="F57" s="500">
        <f t="shared" si="17"/>
        <v>51616.77042692398</v>
      </c>
      <c r="G57" s="500">
        <f t="shared" si="17"/>
        <v>84755.12501771901</v>
      </c>
      <c r="H57" s="500">
        <f t="shared" si="17"/>
        <v>122075.3537273444</v>
      </c>
      <c r="I57" s="500">
        <f t="shared" si="17"/>
        <v>163947.54384944026</v>
      </c>
      <c r="J57" s="500">
        <f t="shared" si="17"/>
        <v>174797.35941051377</v>
      </c>
      <c r="K57" s="501">
        <f t="shared" si="17"/>
        <v>186436.89833143167</v>
      </c>
    </row>
    <row r="58" spans="1:11" ht="15">
      <c r="A58" s="510" t="s">
        <v>120</v>
      </c>
      <c r="B58" s="515">
        <f>B57/(ECO!H28*1000)</f>
        <v>0</v>
      </c>
      <c r="C58" s="515">
        <f>C57/(ECO!I28*1000)</f>
        <v>0</v>
      </c>
      <c r="D58" s="516">
        <f>D57/(ECO!J28*1000)</f>
        <v>0</v>
      </c>
      <c r="E58" s="516">
        <f>E57/(ECO!K28*1000)</f>
        <v>0.0017048742812837228</v>
      </c>
      <c r="F58" s="516">
        <f>F57/(ECO!L28*1000)</f>
        <v>0.0036368867954798866</v>
      </c>
      <c r="G58" s="516">
        <f>G57/(ECO!M28*1000)</f>
        <v>0.005505392036061158</v>
      </c>
      <c r="H58" s="516">
        <f>H57/(ECO!N28*1000)</f>
        <v>0.007307197320233853</v>
      </c>
      <c r="I58" s="516">
        <f>I57/(ECO!O28*1000)</f>
        <v>0.009040314165931828</v>
      </c>
      <c r="J58" s="516">
        <f>J57/(ECO!P28*1000)</f>
        <v>0.008879439439353161</v>
      </c>
      <c r="K58" s="517">
        <f>K57/(ECO!Q28*1000)</f>
        <v>0.00872048873396602</v>
      </c>
    </row>
    <row r="59" spans="1:11" ht="15">
      <c r="A59" s="511" t="s">
        <v>234</v>
      </c>
      <c r="B59" s="513">
        <f>B57/('GGO (SQ)'!H11*1000)</f>
        <v>0</v>
      </c>
      <c r="C59" s="513">
        <f>C57/('GGO (SQ)'!I11*1000)</f>
        <v>0</v>
      </c>
      <c r="D59" s="508">
        <f>D57/('GGO (SQ)'!J11*1000)</f>
        <v>0</v>
      </c>
      <c r="E59" s="508">
        <f>E57/('GGO (SQ)'!K11*1000)</f>
        <v>0.008639621259422983</v>
      </c>
      <c r="F59" s="508">
        <f>F57/('GGO (SQ)'!L11*1000)</f>
        <v>0.018555476302693902</v>
      </c>
      <c r="G59" s="508">
        <f>G57/('GGO (SQ)'!M11*1000)</f>
        <v>0.028291637269973358</v>
      </c>
      <c r="H59" s="508">
        <f>H57/('GGO (SQ)'!N11*1000)</f>
        <v>0.03783015995606489</v>
      </c>
      <c r="I59" s="508">
        <f>I57/('GGO (SQ)'!O11*1000)</f>
        <v>0.04715613440158135</v>
      </c>
      <c r="J59" s="508">
        <f>J57/('GGO (SQ)'!P11*1000)</f>
        <v>0.046654605880200956</v>
      </c>
      <c r="K59" s="509">
        <f>K57/('GGO (SQ)'!Q11*1000)</f>
        <v>0.04616565344316265</v>
      </c>
    </row>
    <row r="60" spans="1:11" ht="15">
      <c r="A60" s="190"/>
      <c r="B60" s="128"/>
      <c r="C60" s="128"/>
      <c r="D60" s="128"/>
      <c r="E60" s="128"/>
      <c r="F60" s="128"/>
      <c r="G60" s="128"/>
      <c r="H60" s="128"/>
      <c r="I60" s="128"/>
      <c r="J60" s="128"/>
      <c r="K60" s="129"/>
    </row>
    <row r="61" spans="1:11" ht="15">
      <c r="A61" s="607" t="s">
        <v>350</v>
      </c>
      <c r="B61" s="608"/>
      <c r="C61" s="608"/>
      <c r="D61" s="608"/>
      <c r="E61" s="608"/>
      <c r="F61" s="608"/>
      <c r="G61" s="608"/>
      <c r="H61" s="608"/>
      <c r="I61" s="608"/>
      <c r="J61" s="608"/>
      <c r="K61" s="609"/>
    </row>
    <row r="62" spans="1:11" ht="15">
      <c r="A62" s="65" t="s">
        <v>121</v>
      </c>
      <c r="B62" s="67">
        <f>POP!H$60</f>
        <v>64082.42121420116</v>
      </c>
      <c r="C62" s="42">
        <f>POP!I$60</f>
        <v>64360.18766125533</v>
      </c>
      <c r="D62" s="43">
        <f>POP!J$60</f>
        <v>64623.04486955623</v>
      </c>
      <c r="E62" s="43">
        <f>POP!K$60</f>
        <v>64764.57009053384</v>
      </c>
      <c r="F62" s="43">
        <f>POP!L$60</f>
        <v>64996.1397053735</v>
      </c>
      <c r="G62" s="43">
        <f>POP!M$60</f>
        <v>65104.80693273373</v>
      </c>
      <c r="H62" s="43">
        <f>POP!N$60</f>
        <v>65297.291041412514</v>
      </c>
      <c r="I62" s="43">
        <f>POP!O$60</f>
        <v>65361.40095234717</v>
      </c>
      <c r="J62" s="43">
        <f>POP!P$60</f>
        <v>65509.81931349555</v>
      </c>
      <c r="K62" s="130">
        <f>POP!Q$60</f>
        <v>65529.90528267191</v>
      </c>
    </row>
    <row r="63" spans="1:11" ht="15">
      <c r="A63" s="65" t="s">
        <v>166</v>
      </c>
      <c r="B63" s="67">
        <f>SUM(POP!H284:H299)</f>
        <v>8750.909773762494</v>
      </c>
      <c r="C63" s="43">
        <f>SUM(POP!I284:I299)</f>
        <v>9122.266588735813</v>
      </c>
      <c r="D63" s="43">
        <f>SUM(POP!J284:J299)</f>
        <v>9517.05234007736</v>
      </c>
      <c r="E63" s="43">
        <f>SUM(POP!K284:K299)</f>
        <v>9928.34607372732</v>
      </c>
      <c r="F63" s="43">
        <f>SUM(POP!L284:L299)</f>
        <v>10351.093119760824</v>
      </c>
      <c r="G63" s="43">
        <f>SUM(POP!M284:M299)</f>
        <v>10783.377556226978</v>
      </c>
      <c r="H63" s="43">
        <f>SUM(POP!N284:N299)</f>
        <v>11225.82163963464</v>
      </c>
      <c r="I63" s="43">
        <f>SUM(POP!O284:O299)</f>
        <v>11678.958363378839</v>
      </c>
      <c r="J63" s="43">
        <f>SUM(POP!P284:P299)</f>
        <v>12144.101431606283</v>
      </c>
      <c r="K63" s="44">
        <f>SUM(POP!Q284:Q299)</f>
        <v>12621.655270063577</v>
      </c>
    </row>
    <row r="64" spans="1:11" ht="15">
      <c r="A64" s="65" t="s">
        <v>167</v>
      </c>
      <c r="B64" s="67">
        <f>62.3%*B63</f>
        <v>5451.8167890540335</v>
      </c>
      <c r="C64" s="43">
        <f>62.3%*C63</f>
        <v>5683.172084782411</v>
      </c>
      <c r="D64" s="43">
        <f aca="true" t="shared" si="18" ref="D64:K64">62.3%*D63</f>
        <v>5929.123607868195</v>
      </c>
      <c r="E64" s="43">
        <f t="shared" si="18"/>
        <v>6185.35960393212</v>
      </c>
      <c r="F64" s="43">
        <f t="shared" si="18"/>
        <v>6448.731013610994</v>
      </c>
      <c r="G64" s="43">
        <f t="shared" si="18"/>
        <v>6718.044217529407</v>
      </c>
      <c r="H64" s="43">
        <f t="shared" si="18"/>
        <v>6993.686881492381</v>
      </c>
      <c r="I64" s="43">
        <f t="shared" si="18"/>
        <v>7275.991060385017</v>
      </c>
      <c r="J64" s="43">
        <f t="shared" si="18"/>
        <v>7565.775191890714</v>
      </c>
      <c r="K64" s="44">
        <f t="shared" si="18"/>
        <v>7863.291233249608</v>
      </c>
    </row>
    <row r="65" spans="1:11" ht="15">
      <c r="A65" s="65" t="s">
        <v>282</v>
      </c>
      <c r="B65" s="126">
        <f>15.9%*B64</f>
        <v>866.8388694595914</v>
      </c>
      <c r="C65" s="117">
        <f>15.9%*C64</f>
        <v>903.6243614804033</v>
      </c>
      <c r="D65" s="117">
        <f aca="true" t="shared" si="19" ref="D65:K65">15.9%*D64</f>
        <v>942.730653651043</v>
      </c>
      <c r="E65" s="117">
        <f t="shared" si="19"/>
        <v>983.4721770252071</v>
      </c>
      <c r="F65" s="117">
        <f t="shared" si="19"/>
        <v>1025.348231164148</v>
      </c>
      <c r="G65" s="117">
        <f t="shared" si="19"/>
        <v>1068.1690305871757</v>
      </c>
      <c r="H65" s="117">
        <f t="shared" si="19"/>
        <v>1111.9962141572885</v>
      </c>
      <c r="I65" s="117">
        <f t="shared" si="19"/>
        <v>1156.8825786012176</v>
      </c>
      <c r="J65" s="117">
        <f t="shared" si="19"/>
        <v>1202.9582555106235</v>
      </c>
      <c r="K65" s="116">
        <f t="shared" si="19"/>
        <v>1250.2633060866876</v>
      </c>
    </row>
    <row r="66" spans="1:11" ht="15">
      <c r="A66" s="206"/>
      <c r="B66" s="126" t="s">
        <v>168</v>
      </c>
      <c r="C66" s="117"/>
      <c r="D66" s="117"/>
      <c r="E66" s="117"/>
      <c r="F66" s="117"/>
      <c r="G66" s="117"/>
      <c r="H66" s="117"/>
      <c r="I66" s="117"/>
      <c r="J66" s="117"/>
      <c r="K66" s="116"/>
    </row>
    <row r="67" spans="1:11" ht="15">
      <c r="A67" s="95" t="s">
        <v>122</v>
      </c>
      <c r="B67" s="126">
        <f>B65</f>
        <v>866.8388694595914</v>
      </c>
      <c r="C67" s="117">
        <f>C65</f>
        <v>903.6243614804033</v>
      </c>
      <c r="D67" s="117">
        <f aca="true" t="shared" si="20" ref="D67:K67">D65</f>
        <v>942.730653651043</v>
      </c>
      <c r="E67" s="117">
        <f t="shared" si="20"/>
        <v>983.4721770252071</v>
      </c>
      <c r="F67" s="117">
        <f t="shared" si="20"/>
        <v>1025.348231164148</v>
      </c>
      <c r="G67" s="117">
        <f t="shared" si="20"/>
        <v>1068.1690305871757</v>
      </c>
      <c r="H67" s="117">
        <f t="shared" si="20"/>
        <v>1111.9962141572885</v>
      </c>
      <c r="I67" s="117">
        <f t="shared" si="20"/>
        <v>1156.8825786012176</v>
      </c>
      <c r="J67" s="117">
        <f t="shared" si="20"/>
        <v>1202.9582555106235</v>
      </c>
      <c r="K67" s="116">
        <f t="shared" si="20"/>
        <v>1250.2633060866876</v>
      </c>
    </row>
    <row r="68" spans="1:13" ht="15">
      <c r="A68" s="95" t="s">
        <v>146</v>
      </c>
      <c r="B68" s="197">
        <v>0</v>
      </c>
      <c r="C68" s="173">
        <v>0</v>
      </c>
      <c r="D68" s="173">
        <v>0</v>
      </c>
      <c r="E68" s="173">
        <v>0.2</v>
      </c>
      <c r="F68" s="173">
        <v>0.4</v>
      </c>
      <c r="G68" s="173">
        <v>0.6</v>
      </c>
      <c r="H68" s="173">
        <v>0.8</v>
      </c>
      <c r="I68" s="173">
        <v>1</v>
      </c>
      <c r="J68" s="173">
        <v>1</v>
      </c>
      <c r="K68" s="174">
        <v>1</v>
      </c>
      <c r="L68" s="203"/>
      <c r="M68" s="117"/>
    </row>
    <row r="69" spans="1:11" ht="15">
      <c r="A69" s="95" t="s">
        <v>147</v>
      </c>
      <c r="B69" s="126">
        <f>B68*B67</f>
        <v>0</v>
      </c>
      <c r="C69" s="117">
        <f>C68*C67</f>
        <v>0</v>
      </c>
      <c r="D69" s="117">
        <f aca="true" t="shared" si="21" ref="D69:K69">D68*D67</f>
        <v>0</v>
      </c>
      <c r="E69" s="117">
        <f t="shared" si="21"/>
        <v>196.69443540504142</v>
      </c>
      <c r="F69" s="117">
        <f t="shared" si="21"/>
        <v>410.13929246565925</v>
      </c>
      <c r="G69" s="117">
        <f t="shared" si="21"/>
        <v>640.9014183523054</v>
      </c>
      <c r="H69" s="117">
        <f t="shared" si="21"/>
        <v>889.5969713258309</v>
      </c>
      <c r="I69" s="117">
        <f t="shared" si="21"/>
        <v>1156.8825786012176</v>
      </c>
      <c r="J69" s="117">
        <f t="shared" si="21"/>
        <v>1202.9582555106235</v>
      </c>
      <c r="K69" s="116">
        <f t="shared" si="21"/>
        <v>1250.2633060866876</v>
      </c>
    </row>
    <row r="70" spans="1:11" ht="15">
      <c r="A70" s="190"/>
      <c r="B70" s="145"/>
      <c r="C70" s="136"/>
      <c r="D70" s="147"/>
      <c r="E70" s="147"/>
      <c r="F70" s="147"/>
      <c r="G70" s="147"/>
      <c r="H70" s="147"/>
      <c r="I70" s="147"/>
      <c r="J70" s="147"/>
      <c r="K70" s="199"/>
    </row>
    <row r="71" spans="1:11" ht="15">
      <c r="A71" s="95" t="s">
        <v>180</v>
      </c>
      <c r="B71" s="126">
        <f>ECO!H20*12/2</f>
        <v>10450.211111111112</v>
      </c>
      <c r="C71" s="117">
        <f>ECO!I20*12/2</f>
        <v>10766.852507777778</v>
      </c>
      <c r="D71" s="117">
        <f>ECO!J20*12/2</f>
        <v>11027.410338466</v>
      </c>
      <c r="E71" s="117">
        <f>ECO!K20*12/2</f>
        <v>11307.506561063035</v>
      </c>
      <c r="F71" s="117">
        <f>ECO!L20*12/2</f>
        <v>11586.801973121292</v>
      </c>
      <c r="G71" s="117">
        <f>ECO!M20*12/2</f>
        <v>11875.313342252011</v>
      </c>
      <c r="H71" s="117">
        <f>ECO!N20*12/2</f>
        <v>12173.383707142535</v>
      </c>
      <c r="I71" s="117">
        <f>ECO!O20*12/2</f>
        <v>12481.370314933243</v>
      </c>
      <c r="J71" s="117">
        <f>ECO!P20*12/2</f>
        <v>12788.412024680601</v>
      </c>
      <c r="K71" s="116">
        <f>ECO!Q20*12/2</f>
        <v>13114.516531309959</v>
      </c>
    </row>
    <row r="72" spans="1:11" ht="15">
      <c r="A72" s="95" t="s">
        <v>187</v>
      </c>
      <c r="B72" s="126">
        <f>B71*B69/1000</f>
        <v>0</v>
      </c>
      <c r="C72" s="118">
        <f>C71*C69/1000</f>
        <v>0</v>
      </c>
      <c r="D72" s="117">
        <f>D71*D69/1000</f>
        <v>0</v>
      </c>
      <c r="E72" s="117">
        <f aca="true" t="shared" si="22" ref="E72:J72">E71*E69/1000</f>
        <v>2224.123618867095</v>
      </c>
      <c r="F72" s="117">
        <f t="shared" si="22"/>
        <v>4752.202763195671</v>
      </c>
      <c r="G72" s="117">
        <f t="shared" si="22"/>
        <v>7610.90516442737</v>
      </c>
      <c r="H72" s="117">
        <f t="shared" si="22"/>
        <v>10829.405276661213</v>
      </c>
      <c r="I72" s="117">
        <f t="shared" si="22"/>
        <v>14439.479874416662</v>
      </c>
      <c r="J72" s="117">
        <f t="shared" si="22"/>
        <v>15383.925819960858</v>
      </c>
      <c r="K72" s="116">
        <f>K71*K69/1000</f>
        <v>16396.598796164108</v>
      </c>
    </row>
    <row r="73" spans="1:11" ht="15">
      <c r="A73" s="95"/>
      <c r="B73" s="205"/>
      <c r="C73" s="147"/>
      <c r="D73" s="147"/>
      <c r="E73" s="147"/>
      <c r="F73" s="147"/>
      <c r="G73" s="147"/>
      <c r="H73" s="147"/>
      <c r="I73" s="147"/>
      <c r="J73" s="147"/>
      <c r="K73" s="199"/>
    </row>
    <row r="74" spans="1:11" ht="15">
      <c r="A74" s="184" t="s">
        <v>197</v>
      </c>
      <c r="B74" s="116">
        <f>10%*B72</f>
        <v>0</v>
      </c>
      <c r="C74" s="118">
        <f>10%*C72</f>
        <v>0</v>
      </c>
      <c r="D74" s="117">
        <f>10%*D72</f>
        <v>0</v>
      </c>
      <c r="E74" s="117">
        <f aca="true" t="shared" si="23" ref="E74:J74">10%*E72</f>
        <v>222.4123618867095</v>
      </c>
      <c r="F74" s="117">
        <f t="shared" si="23"/>
        <v>475.2202763195671</v>
      </c>
      <c r="G74" s="117">
        <f t="shared" si="23"/>
        <v>761.0905164427371</v>
      </c>
      <c r="H74" s="117">
        <f t="shared" si="23"/>
        <v>1082.9405276661214</v>
      </c>
      <c r="I74" s="117">
        <f t="shared" si="23"/>
        <v>1443.9479874416663</v>
      </c>
      <c r="J74" s="117">
        <f t="shared" si="23"/>
        <v>1538.392581996086</v>
      </c>
      <c r="K74" s="116">
        <f>10%*K72</f>
        <v>1639.6598796164108</v>
      </c>
    </row>
    <row r="75" spans="1:11" ht="15">
      <c r="A75" s="65"/>
      <c r="B75" s="67"/>
      <c r="C75" s="43"/>
      <c r="D75" s="43"/>
      <c r="E75" s="43"/>
      <c r="F75" s="43"/>
      <c r="G75" s="43"/>
      <c r="H75" s="43"/>
      <c r="I75" s="43"/>
      <c r="J75" s="43"/>
      <c r="K75" s="44"/>
    </row>
    <row r="76" spans="1:11" ht="15">
      <c r="A76" s="502" t="s">
        <v>191</v>
      </c>
      <c r="B76" s="498">
        <f>B72+B74</f>
        <v>0</v>
      </c>
      <c r="C76" s="500">
        <f>C72+C74</f>
        <v>0</v>
      </c>
      <c r="D76" s="500">
        <f>D72+D74</f>
        <v>0</v>
      </c>
      <c r="E76" s="500">
        <f aca="true" t="shared" si="24" ref="E76:J76">E72+E74</f>
        <v>2446.5359807538043</v>
      </c>
      <c r="F76" s="500">
        <f t="shared" si="24"/>
        <v>5227.423039515238</v>
      </c>
      <c r="G76" s="500">
        <f t="shared" si="24"/>
        <v>8371.995680870108</v>
      </c>
      <c r="H76" s="500">
        <f t="shared" si="24"/>
        <v>11912.345804327335</v>
      </c>
      <c r="I76" s="500">
        <f t="shared" si="24"/>
        <v>15883.427861858328</v>
      </c>
      <c r="J76" s="500">
        <f t="shared" si="24"/>
        <v>16922.318401956945</v>
      </c>
      <c r="K76" s="501">
        <f>K72+K74</f>
        <v>18036.25867578052</v>
      </c>
    </row>
    <row r="77" spans="1:11" ht="15">
      <c r="A77" s="502" t="s">
        <v>120</v>
      </c>
      <c r="B77" s="503">
        <f>B76/(ECO!H28*1000)</f>
        <v>0</v>
      </c>
      <c r="C77" s="504">
        <f>C76/(ECO!I28*1000)</f>
        <v>0</v>
      </c>
      <c r="D77" s="504">
        <f>D76/(ECO!J28*1000)</f>
        <v>0</v>
      </c>
      <c r="E77" s="504">
        <f>E76/(ECO!K28*1000)</f>
        <v>0.0001868653131258868</v>
      </c>
      <c r="F77" s="504">
        <f>F76/(ECO!L28*1000)</f>
        <v>0.0003683211031909822</v>
      </c>
      <c r="G77" s="504">
        <f>G76/(ECO!M28*1000)</f>
        <v>0.0005438151184104187</v>
      </c>
      <c r="H77" s="504">
        <f>H76/(ECO!N28*1000)</f>
        <v>0.0007130502487299511</v>
      </c>
      <c r="I77" s="504">
        <f>I76/(ECO!O28*1000)</f>
        <v>0.0008758361030097517</v>
      </c>
      <c r="J77" s="504">
        <f>J76/(ECO!P28*1000)</f>
        <v>0.0008596279825414247</v>
      </c>
      <c r="K77" s="505">
        <f>K76/(ECO!Q28*1000)</f>
        <v>0.0008436365976515712</v>
      </c>
    </row>
    <row r="78" spans="1:11" ht="15">
      <c r="A78" s="506" t="s">
        <v>123</v>
      </c>
      <c r="B78" s="507">
        <f>B76/('GGO (SQ)'!H11*1000)</f>
        <v>0</v>
      </c>
      <c r="C78" s="508">
        <f>C76/('GGO (SQ)'!I11*1000)</f>
        <v>0</v>
      </c>
      <c r="D78" s="508">
        <f>D76/('GGO (SQ)'!J11*1000)</f>
        <v>0</v>
      </c>
      <c r="E78" s="508">
        <f>E76/('GGO (SQ)'!K11*1000)</f>
        <v>0.0009469586993332504</v>
      </c>
      <c r="F78" s="508">
        <f>F76/('GGO (SQ)'!L11*1000)</f>
        <v>0.0018791823574317635</v>
      </c>
      <c r="G78" s="508">
        <f>G76/('GGO (SQ)'!M11*1000)</f>
        <v>0.002794609352289234</v>
      </c>
      <c r="H78" s="508">
        <f>H76/('GGO (SQ)'!N11*1000)</f>
        <v>0.0036915391475021275</v>
      </c>
      <c r="I78" s="508">
        <f>I76/('GGO (SQ)'!O11*1000)</f>
        <v>0.004568540896833755</v>
      </c>
      <c r="J78" s="508">
        <f>J76/('GGO (SQ)'!P11*1000)</f>
        <v>0.004516682049918232</v>
      </c>
      <c r="K78" s="509">
        <f>K76/('GGO (SQ)'!Q11*1000)</f>
        <v>0.004466152756720371</v>
      </c>
    </row>
    <row r="80" ht="15">
      <c r="K80" s="335"/>
    </row>
  </sheetData>
  <mergeCells count="5">
    <mergeCell ref="J4:K4"/>
    <mergeCell ref="J5:K5"/>
    <mergeCell ref="A10:K10"/>
    <mergeCell ref="A37:K37"/>
    <mergeCell ref="A61:K61"/>
  </mergeCells>
  <printOptions/>
  <pageMargins left="0.7" right="0.7" top="0.75" bottom="0.75" header="0.3" footer="0.3"/>
  <pageSetup horizontalDpi="600" verticalDpi="600" orientation="portrait" r:id="rId1"/>
  <ignoredErrors>
    <ignoredError sqref="C63 D63:K63" formulaRange="1"/>
  </ignoredErrors>
</worksheet>
</file>

<file path=xl/worksheets/sheet12.xml><?xml version="1.0" encoding="utf-8"?>
<worksheet xmlns="http://schemas.openxmlformats.org/spreadsheetml/2006/main" xmlns:r="http://schemas.openxmlformats.org/officeDocument/2006/relationships">
  <sheetPr>
    <tabColor theme="6" tint="-0.24997000396251678"/>
  </sheetPr>
  <dimension ref="A1:N69"/>
  <sheetViews>
    <sheetView workbookViewId="0" topLeftCell="A1">
      <pane ySplit="8" topLeftCell="A9" activePane="bottomLeft" state="frozen"/>
      <selection pane="bottomLeft" activeCell="A2" sqref="A2"/>
    </sheetView>
  </sheetViews>
  <sheetFormatPr defaultColWidth="8.8515625" defaultRowHeight="15"/>
  <cols>
    <col min="1" max="1" width="50.421875" style="1" customWidth="1"/>
    <col min="2" max="2" width="12.28125" style="38" customWidth="1"/>
    <col min="3" max="3" width="10.7109375" style="38" customWidth="1"/>
    <col min="4" max="11" width="10.7109375" style="1" customWidth="1"/>
    <col min="12" max="12" width="87.8515625" style="1" bestFit="1" customWidth="1"/>
    <col min="13" max="13" width="8.8515625" style="1" customWidth="1"/>
    <col min="14" max="14" width="11.140625" style="1" customWidth="1"/>
    <col min="15" max="16384" width="8.8515625" style="1" customWidth="1"/>
  </cols>
  <sheetData>
    <row r="1" ht="18.75">
      <c r="A1" s="579" t="s">
        <v>130</v>
      </c>
    </row>
    <row r="2" spans="9:11" ht="15">
      <c r="I2" s="518" t="s">
        <v>32</v>
      </c>
      <c r="J2" s="519"/>
      <c r="K2" s="519" t="str">
        <f ca="1">CELL("contents",README!I6)</f>
        <v>1.1</v>
      </c>
    </row>
    <row r="3" spans="9:11" ht="15">
      <c r="I3" s="518" t="s">
        <v>28</v>
      </c>
      <c r="J3" s="519"/>
      <c r="K3" s="519" t="str">
        <f ca="1">IF(README!I7="","",CELL("contents",README!I7))</f>
        <v>Coresia</v>
      </c>
    </row>
    <row r="4" spans="9:11" ht="15">
      <c r="I4" s="518" t="s">
        <v>33</v>
      </c>
      <c r="J4" s="602">
        <f ca="1">CELL("contents",README!H8)</f>
        <v>41565</v>
      </c>
      <c r="K4" s="602"/>
    </row>
    <row r="5" spans="9:11" ht="15">
      <c r="I5" s="518" t="s">
        <v>25</v>
      </c>
      <c r="J5" s="602">
        <f ca="1">CELL("contents",README!H9)</f>
        <v>41605</v>
      </c>
      <c r="K5" s="602"/>
    </row>
    <row r="6" spans="9:11" ht="15">
      <c r="I6" s="518" t="s">
        <v>26</v>
      </c>
      <c r="J6" s="519"/>
      <c r="K6" s="519" t="str">
        <f ca="1">IF(README!I10="","",CELL("contents",README!I10))</f>
        <v>ABND guide</v>
      </c>
    </row>
    <row r="7" spans="2:11" ht="15">
      <c r="B7" s="218"/>
      <c r="C7" s="218"/>
      <c r="D7" s="218"/>
      <c r="E7" s="218"/>
      <c r="F7" s="218"/>
      <c r="G7" s="218"/>
      <c r="H7" s="218"/>
      <c r="I7" s="218"/>
      <c r="J7" s="218"/>
      <c r="K7" s="218"/>
    </row>
    <row r="8" spans="1:12" ht="15">
      <c r="A8" s="316" t="s">
        <v>149</v>
      </c>
      <c r="B8" s="58">
        <v>2011</v>
      </c>
      <c r="C8" s="93">
        <v>2012</v>
      </c>
      <c r="D8" s="58">
        <v>2013</v>
      </c>
      <c r="E8" s="58">
        <v>2014</v>
      </c>
      <c r="F8" s="58">
        <v>2015</v>
      </c>
      <c r="G8" s="58">
        <v>2016</v>
      </c>
      <c r="H8" s="58">
        <v>2017</v>
      </c>
      <c r="I8" s="58">
        <v>2018</v>
      </c>
      <c r="J8" s="58">
        <v>2019</v>
      </c>
      <c r="K8" s="58">
        <v>2020</v>
      </c>
      <c r="L8" s="59" t="s">
        <v>304</v>
      </c>
    </row>
    <row r="9" spans="1:11" ht="15">
      <c r="A9" s="206" t="s">
        <v>5</v>
      </c>
      <c r="B9" s="144">
        <v>0.0103</v>
      </c>
      <c r="C9" s="134">
        <v>0.0096</v>
      </c>
      <c r="D9" s="134">
        <v>0.0106</v>
      </c>
      <c r="E9" s="134">
        <v>0.0099</v>
      </c>
      <c r="F9" s="134">
        <v>0.0095</v>
      </c>
      <c r="G9" s="134">
        <v>0.0089</v>
      </c>
      <c r="H9" s="138">
        <v>0.0067</v>
      </c>
      <c r="I9" s="135">
        <v>0.0079</v>
      </c>
      <c r="J9" s="135">
        <v>0.0048</v>
      </c>
      <c r="K9" s="137">
        <v>0.0024</v>
      </c>
    </row>
    <row r="10" spans="1:11" ht="15">
      <c r="A10" s="206" t="s">
        <v>6</v>
      </c>
      <c r="B10" s="144">
        <v>0.0688</v>
      </c>
      <c r="C10" s="134">
        <v>0.068</v>
      </c>
      <c r="D10" s="134">
        <v>0.0682</v>
      </c>
      <c r="E10" s="134">
        <v>0.0689</v>
      </c>
      <c r="F10" s="134">
        <v>0.0696</v>
      </c>
      <c r="G10" s="134">
        <v>0.0706</v>
      </c>
      <c r="H10" s="138">
        <v>0.0759</v>
      </c>
      <c r="I10" s="135">
        <v>0.0682</v>
      </c>
      <c r="J10" s="135">
        <v>0.0691</v>
      </c>
      <c r="K10" s="137">
        <v>0.0701</v>
      </c>
    </row>
    <row r="11" spans="1:11" ht="15">
      <c r="A11" s="206" t="s">
        <v>7</v>
      </c>
      <c r="B11" s="144">
        <v>0.1215</v>
      </c>
      <c r="C11" s="134">
        <v>0.1232</v>
      </c>
      <c r="D11" s="134">
        <v>0.1236</v>
      </c>
      <c r="E11" s="134">
        <v>0.1258</v>
      </c>
      <c r="F11" s="134">
        <v>0.1279</v>
      </c>
      <c r="G11" s="134">
        <v>0.1297</v>
      </c>
      <c r="H11" s="138">
        <v>0.1267</v>
      </c>
      <c r="I11" s="135">
        <v>0.1283</v>
      </c>
      <c r="J11" s="135">
        <v>0.1303</v>
      </c>
      <c r="K11" s="137">
        <v>0.1307</v>
      </c>
    </row>
    <row r="12" spans="1:11" ht="15">
      <c r="A12" s="206" t="s">
        <v>8</v>
      </c>
      <c r="B12" s="144">
        <v>0.0797</v>
      </c>
      <c r="C12" s="134">
        <v>0.0798</v>
      </c>
      <c r="D12" s="134">
        <v>0.0788</v>
      </c>
      <c r="E12" s="134">
        <v>0.0793</v>
      </c>
      <c r="F12" s="134">
        <v>0.0798</v>
      </c>
      <c r="G12" s="134">
        <v>0.0806</v>
      </c>
      <c r="H12" s="138">
        <v>0.0769</v>
      </c>
      <c r="I12" s="135">
        <v>0.0776</v>
      </c>
      <c r="J12" s="135">
        <v>0.0785</v>
      </c>
      <c r="K12" s="137">
        <v>0.0793</v>
      </c>
    </row>
    <row r="13" spans="1:11" ht="15">
      <c r="A13" s="206" t="s">
        <v>9</v>
      </c>
      <c r="B13" s="144">
        <v>0.0297</v>
      </c>
      <c r="C13" s="134">
        <v>0.0314</v>
      </c>
      <c r="D13" s="134">
        <v>0.0315</v>
      </c>
      <c r="E13" s="134">
        <v>0.0313</v>
      </c>
      <c r="F13" s="134">
        <v>0.0291</v>
      </c>
      <c r="G13" s="134">
        <v>0.0294</v>
      </c>
      <c r="H13" s="138">
        <v>0.0293</v>
      </c>
      <c r="I13" s="135">
        <v>0.02996</v>
      </c>
      <c r="J13" s="135">
        <v>0.02599</v>
      </c>
      <c r="K13" s="137">
        <v>0.0262</v>
      </c>
    </row>
    <row r="14" spans="1:11" ht="15">
      <c r="A14" s="317" t="s">
        <v>10</v>
      </c>
      <c r="B14" s="144">
        <v>0.00968</v>
      </c>
      <c r="C14" s="134">
        <v>0.00878</v>
      </c>
      <c r="D14" s="134">
        <v>0.00902</v>
      </c>
      <c r="E14" s="134">
        <v>0.0076</v>
      </c>
      <c r="F14" s="134">
        <v>0.0076</v>
      </c>
      <c r="G14" s="134">
        <v>0.00468</v>
      </c>
      <c r="H14" s="138">
        <v>0.00494</v>
      </c>
      <c r="I14" s="135">
        <v>0.0051</v>
      </c>
      <c r="J14" s="135">
        <v>0.00486</v>
      </c>
      <c r="K14" s="137">
        <v>0.0016</v>
      </c>
    </row>
    <row r="15" spans="1:11" s="280" customFormat="1" ht="15">
      <c r="A15" s="521" t="s">
        <v>236</v>
      </c>
      <c r="B15" s="522">
        <f>(B9*POP!H31)+(B10*POP!H32)+(B11*POP!H33)+(B12*POP!H34)+(B13*POP!H35)+(B14*POP!H36)</f>
        <v>763.2044347747385</v>
      </c>
      <c r="C15" s="523">
        <f>(C9*POP!I31)+(C10*POP!I32)+(C11*POP!I33)+(C12*POP!I34)+(C13*POP!I35)+(C14*POP!I36)</f>
        <v>755.9324208990716</v>
      </c>
      <c r="D15" s="523">
        <f>(D9*POP!J31)+(D10*POP!J32)+(D11*POP!J33)+(D12*POP!J34)+(D13*POP!J35)+(D14*POP!J36)</f>
        <v>749.1017919043643</v>
      </c>
      <c r="E15" s="523">
        <f>(E9*POP!K31)+(E10*POP!K32)+(E11*POP!K33)+(E12*POP!K34)+(E13*POP!K35)+(E14*POP!K36)</f>
        <v>743.0380970608297</v>
      </c>
      <c r="F15" s="523">
        <f>(F9*POP!L31)+(F10*POP!L32)+(F11*POP!L33)+(F12*POP!L34)+(F13*POP!L35)+(F14*POP!L36)</f>
        <v>737.4139220261944</v>
      </c>
      <c r="G15" s="523">
        <f>(G9*POP!M31)+(G10*POP!M32)+(G11*POP!M33)+(G12*POP!M34)+(G13*POP!M35)+(G14*POP!M36)</f>
        <v>732.2437985002628</v>
      </c>
      <c r="H15" s="523">
        <f>(H9*POP!N31)+(H10*POP!N32)+(H11*POP!N33)+(H12*POP!N34)+(H13*POP!N35)+(H14*POP!N36)</f>
        <v>721.7444097169716</v>
      </c>
      <c r="I15" s="523">
        <f>(I9*POP!O31)+(I10*POP!O32)+(I11*POP!O33)+(I12*POP!O34)+(I13*POP!O35)+(I14*POP!O36)</f>
        <v>711.5360748319268</v>
      </c>
      <c r="J15" s="523">
        <f>(J9*POP!P31)+(J10*POP!P32)+(J11*POP!P33)+(J12*POP!P34)+(J13*POP!P35)+(J14*POP!P36)</f>
        <v>701.377401950125</v>
      </c>
      <c r="K15" s="524">
        <f>(K9*POP!Q31)+(K10*POP!Q32)+(K11*POP!Q33)+(K12*POP!Q34)+(K13*POP!Q35)+(K14*POP!Q36)</f>
        <v>691.4127625397234</v>
      </c>
    </row>
    <row r="16" spans="1:14" ht="15">
      <c r="A16" s="95"/>
      <c r="B16" s="217"/>
      <c r="C16" s="217"/>
      <c r="D16" s="217"/>
      <c r="E16" s="217"/>
      <c r="F16" s="217"/>
      <c r="G16" s="217"/>
      <c r="H16" s="217"/>
      <c r="I16" s="217"/>
      <c r="J16" s="217"/>
      <c r="K16" s="318"/>
      <c r="L16" s="603"/>
      <c r="M16" s="604"/>
      <c r="N16" s="604"/>
    </row>
    <row r="17" spans="1:11" ht="30" customHeight="1">
      <c r="A17" s="598" t="s">
        <v>351</v>
      </c>
      <c r="B17" s="610"/>
      <c r="C17" s="610"/>
      <c r="D17" s="610"/>
      <c r="E17" s="610"/>
      <c r="F17" s="610"/>
      <c r="G17" s="610"/>
      <c r="H17" s="610"/>
      <c r="I17" s="610"/>
      <c r="J17" s="610"/>
      <c r="K17" s="611"/>
    </row>
    <row r="18" spans="1:11" ht="15">
      <c r="A18" s="65" t="s">
        <v>121</v>
      </c>
      <c r="B18" s="67">
        <f>POP!H$60</f>
        <v>64082.42121420116</v>
      </c>
      <c r="C18" s="42">
        <f>POP!I$60</f>
        <v>64360.18766125533</v>
      </c>
      <c r="D18" s="43">
        <f>POP!J$60</f>
        <v>64623.04486955623</v>
      </c>
      <c r="E18" s="43">
        <f>POP!K$60</f>
        <v>64764.57009053384</v>
      </c>
      <c r="F18" s="43">
        <f>POP!L$60</f>
        <v>64996.1397053735</v>
      </c>
      <c r="G18" s="43">
        <f>POP!M$60</f>
        <v>65104.80693273373</v>
      </c>
      <c r="H18" s="43">
        <f>POP!N$60</f>
        <v>65297.291041412514</v>
      </c>
      <c r="I18" s="43">
        <f>POP!O$60</f>
        <v>65361.40095234717</v>
      </c>
      <c r="J18" s="43">
        <f>POP!P$60</f>
        <v>65509.81931349555</v>
      </c>
      <c r="K18" s="44">
        <f>POP!Q$60</f>
        <v>65529.90528267191</v>
      </c>
    </row>
    <row r="19" spans="1:11" ht="15">
      <c r="A19" s="65" t="s">
        <v>131</v>
      </c>
      <c r="B19" s="67">
        <f>B15</f>
        <v>763.2044347747385</v>
      </c>
      <c r="C19" s="43">
        <f>C15</f>
        <v>755.9324208990716</v>
      </c>
      <c r="D19" s="43">
        <f aca="true" t="shared" si="0" ref="D19:K19">D15</f>
        <v>749.1017919043643</v>
      </c>
      <c r="E19" s="43">
        <f t="shared" si="0"/>
        <v>743.0380970608297</v>
      </c>
      <c r="F19" s="43">
        <f t="shared" si="0"/>
        <v>737.4139220261944</v>
      </c>
      <c r="G19" s="43">
        <f t="shared" si="0"/>
        <v>732.2437985002628</v>
      </c>
      <c r="H19" s="43">
        <f t="shared" si="0"/>
        <v>721.7444097169716</v>
      </c>
      <c r="I19" s="43">
        <f t="shared" si="0"/>
        <v>711.5360748319268</v>
      </c>
      <c r="J19" s="43">
        <f t="shared" si="0"/>
        <v>701.377401950125</v>
      </c>
      <c r="K19" s="44">
        <f t="shared" si="0"/>
        <v>691.4127625397234</v>
      </c>
    </row>
    <row r="20" spans="1:12" s="77" customFormat="1" ht="15">
      <c r="A20" s="95" t="s">
        <v>169</v>
      </c>
      <c r="B20" s="126">
        <f>62.3%*B19</f>
        <v>475.47636286466206</v>
      </c>
      <c r="C20" s="117">
        <f>62.3%*C19</f>
        <v>470.94589822012165</v>
      </c>
      <c r="D20" s="117">
        <f aca="true" t="shared" si="1" ref="D20:K20">62.3%*D19</f>
        <v>466.69041635641895</v>
      </c>
      <c r="E20" s="117">
        <f t="shared" si="1"/>
        <v>462.91273446889693</v>
      </c>
      <c r="F20" s="117">
        <f t="shared" si="1"/>
        <v>459.4088734223191</v>
      </c>
      <c r="G20" s="117">
        <f t="shared" si="1"/>
        <v>456.1878864656637</v>
      </c>
      <c r="H20" s="117">
        <f t="shared" si="1"/>
        <v>449.6467672536733</v>
      </c>
      <c r="I20" s="117">
        <f t="shared" si="1"/>
        <v>443.28697462029044</v>
      </c>
      <c r="J20" s="117">
        <f t="shared" si="1"/>
        <v>436.95812141492786</v>
      </c>
      <c r="K20" s="116">
        <f t="shared" si="1"/>
        <v>430.7501510622477</v>
      </c>
      <c r="L20" s="77" t="s">
        <v>322</v>
      </c>
    </row>
    <row r="21" spans="1:11" s="77" customFormat="1" ht="15">
      <c r="A21" s="206"/>
      <c r="B21" s="126"/>
      <c r="C21" s="117"/>
      <c r="D21" s="117"/>
      <c r="E21" s="117"/>
      <c r="F21" s="117"/>
      <c r="G21" s="117"/>
      <c r="H21" s="117"/>
      <c r="I21" s="117"/>
      <c r="J21" s="117"/>
      <c r="K21" s="116"/>
    </row>
    <row r="22" spans="1:11" s="77" customFormat="1" ht="15">
      <c r="A22" s="95" t="s">
        <v>122</v>
      </c>
      <c r="B22" s="126">
        <f>B20</f>
        <v>475.47636286466206</v>
      </c>
      <c r="C22" s="117">
        <f>C20</f>
        <v>470.94589822012165</v>
      </c>
      <c r="D22" s="117">
        <f aca="true" t="shared" si="2" ref="D22:K22">D20</f>
        <v>466.69041635641895</v>
      </c>
      <c r="E22" s="117">
        <f t="shared" si="2"/>
        <v>462.91273446889693</v>
      </c>
      <c r="F22" s="117">
        <f t="shared" si="2"/>
        <v>459.4088734223191</v>
      </c>
      <c r="G22" s="117">
        <f t="shared" si="2"/>
        <v>456.1878864656637</v>
      </c>
      <c r="H22" s="117">
        <f t="shared" si="2"/>
        <v>449.6467672536733</v>
      </c>
      <c r="I22" s="117">
        <f t="shared" si="2"/>
        <v>443.28697462029044</v>
      </c>
      <c r="J22" s="117">
        <f t="shared" si="2"/>
        <v>436.95812141492786</v>
      </c>
      <c r="K22" s="116">
        <f t="shared" si="2"/>
        <v>430.7501510622477</v>
      </c>
    </row>
    <row r="23" spans="1:13" s="77" customFormat="1" ht="15">
      <c r="A23" s="95" t="s">
        <v>146</v>
      </c>
      <c r="B23" s="197">
        <v>0</v>
      </c>
      <c r="C23" s="173">
        <v>0</v>
      </c>
      <c r="D23" s="201">
        <v>0</v>
      </c>
      <c r="E23" s="201">
        <v>0.25</v>
      </c>
      <c r="F23" s="201">
        <v>0.5</v>
      </c>
      <c r="G23" s="201">
        <v>0.75</v>
      </c>
      <c r="H23" s="201">
        <v>1</v>
      </c>
      <c r="I23" s="201">
        <v>1</v>
      </c>
      <c r="J23" s="201">
        <v>1</v>
      </c>
      <c r="K23" s="202">
        <v>1</v>
      </c>
      <c r="L23" s="203"/>
      <c r="M23" s="117"/>
    </row>
    <row r="24" spans="1:11" s="77" customFormat="1" ht="15">
      <c r="A24" s="95" t="s">
        <v>147</v>
      </c>
      <c r="B24" s="126">
        <f>B23*B22</f>
        <v>0</v>
      </c>
      <c r="C24" s="117">
        <f>C23*C22</f>
        <v>0</v>
      </c>
      <c r="D24" s="117">
        <f aca="true" t="shared" si="3" ref="D24:K24">D23*D22</f>
        <v>0</v>
      </c>
      <c r="E24" s="117">
        <f t="shared" si="3"/>
        <v>115.72818361722423</v>
      </c>
      <c r="F24" s="117">
        <f t="shared" si="3"/>
        <v>229.70443671115956</v>
      </c>
      <c r="G24" s="117">
        <f t="shared" si="3"/>
        <v>342.1409148492478</v>
      </c>
      <c r="H24" s="117">
        <f t="shared" si="3"/>
        <v>449.6467672536733</v>
      </c>
      <c r="I24" s="117">
        <f t="shared" si="3"/>
        <v>443.28697462029044</v>
      </c>
      <c r="J24" s="117">
        <f t="shared" si="3"/>
        <v>436.95812141492786</v>
      </c>
      <c r="K24" s="116">
        <f t="shared" si="3"/>
        <v>430.7501510622477</v>
      </c>
    </row>
    <row r="25" spans="1:11" s="77" customFormat="1" ht="15">
      <c r="A25" s="190"/>
      <c r="B25" s="145"/>
      <c r="C25" s="136"/>
      <c r="D25" s="147"/>
      <c r="E25" s="147"/>
      <c r="F25" s="147"/>
      <c r="G25" s="147"/>
      <c r="H25" s="147"/>
      <c r="I25" s="147"/>
      <c r="J25" s="147"/>
      <c r="K25" s="199"/>
    </row>
    <row r="26" spans="1:14" s="77" customFormat="1" ht="15">
      <c r="A26" s="95" t="s">
        <v>180</v>
      </c>
      <c r="B26" s="118">
        <f>3*ECO!H20</f>
        <v>5225.105555555556</v>
      </c>
      <c r="C26" s="118">
        <f>3*ECO!I20</f>
        <v>5383.426253888889</v>
      </c>
      <c r="D26" s="117">
        <f>3*ECO!J20</f>
        <v>5513.705169233</v>
      </c>
      <c r="E26" s="117">
        <f>3*ECO!K20</f>
        <v>5653.753280531518</v>
      </c>
      <c r="F26" s="117">
        <f>3*ECO!L20</f>
        <v>5793.400986560646</v>
      </c>
      <c r="G26" s="117">
        <f>3*ECO!M20</f>
        <v>5937.656671126006</v>
      </c>
      <c r="H26" s="117">
        <f>3*ECO!N20</f>
        <v>6086.6918535712675</v>
      </c>
      <c r="I26" s="117">
        <f>3*ECO!O20</f>
        <v>6240.685157466622</v>
      </c>
      <c r="J26" s="117">
        <f>3*ECO!P20</f>
        <v>6394.206012340301</v>
      </c>
      <c r="K26" s="116">
        <f>3*ECO!Q20</f>
        <v>6557.258265654979</v>
      </c>
      <c r="L26" s="597"/>
      <c r="M26" s="614"/>
      <c r="N26" s="614"/>
    </row>
    <row r="27" spans="1:14" s="77" customFormat="1" ht="15">
      <c r="A27" s="95" t="s">
        <v>187</v>
      </c>
      <c r="B27" s="126">
        <f>B26*B24/1000</f>
        <v>0</v>
      </c>
      <c r="C27" s="117">
        <f>C26*C24/1000</f>
        <v>0</v>
      </c>
      <c r="D27" s="117">
        <f>D26*D24/1000</f>
        <v>0</v>
      </c>
      <c r="E27" s="117">
        <f aca="true" t="shared" si="4" ref="E27:J27">E26*E24/1000</f>
        <v>654.2985977758353</v>
      </c>
      <c r="F27" s="117">
        <f t="shared" si="4"/>
        <v>1330.7699102597894</v>
      </c>
      <c r="G27" s="117">
        <f t="shared" si="4"/>
        <v>2031.5152855197907</v>
      </c>
      <c r="H27" s="117">
        <f t="shared" si="4"/>
        <v>2736.8613152275893</v>
      </c>
      <c r="I27" s="117">
        <f t="shared" si="4"/>
        <v>2766.4144430111296</v>
      </c>
      <c r="J27" s="117">
        <f t="shared" si="4"/>
        <v>2794.000247092255</v>
      </c>
      <c r="K27" s="116">
        <f>K26*K24/1000</f>
        <v>2824.5399884850544</v>
      </c>
      <c r="L27" s="597"/>
      <c r="M27" s="614"/>
      <c r="N27" s="614"/>
    </row>
    <row r="28" spans="1:11" s="77" customFormat="1" ht="15">
      <c r="A28" s="95"/>
      <c r="B28" s="205"/>
      <c r="C28" s="147"/>
      <c r="D28" s="147"/>
      <c r="E28" s="147"/>
      <c r="F28" s="147"/>
      <c r="G28" s="147"/>
      <c r="H28" s="147"/>
      <c r="I28" s="147"/>
      <c r="J28" s="147"/>
      <c r="K28" s="199"/>
    </row>
    <row r="29" spans="1:12" s="77" customFormat="1" ht="15">
      <c r="A29" s="236" t="s">
        <v>197</v>
      </c>
      <c r="B29" s="126">
        <f>5%*B27</f>
        <v>0</v>
      </c>
      <c r="C29" s="118">
        <f aca="true" t="shared" si="5" ref="C29:K29">5%*C27</f>
        <v>0</v>
      </c>
      <c r="D29" s="117">
        <f t="shared" si="5"/>
        <v>0</v>
      </c>
      <c r="E29" s="117">
        <f t="shared" si="5"/>
        <v>32.714929888791765</v>
      </c>
      <c r="F29" s="117">
        <f t="shared" si="5"/>
        <v>66.53849551298947</v>
      </c>
      <c r="G29" s="117">
        <f t="shared" si="5"/>
        <v>101.57576427598954</v>
      </c>
      <c r="H29" s="117">
        <f t="shared" si="5"/>
        <v>136.84306576137948</v>
      </c>
      <c r="I29" s="117">
        <f t="shared" si="5"/>
        <v>138.3207221505565</v>
      </c>
      <c r="J29" s="117">
        <f t="shared" si="5"/>
        <v>139.70001235461277</v>
      </c>
      <c r="K29" s="116">
        <f t="shared" si="5"/>
        <v>141.22699942425274</v>
      </c>
      <c r="L29" s="77" t="s">
        <v>285</v>
      </c>
    </row>
    <row r="30" spans="1:11" ht="15">
      <c r="A30" s="65"/>
      <c r="B30" s="67"/>
      <c r="C30" s="43"/>
      <c r="D30" s="43"/>
      <c r="E30" s="43"/>
      <c r="F30" s="43"/>
      <c r="G30" s="43"/>
      <c r="H30" s="43"/>
      <c r="I30" s="43"/>
      <c r="J30" s="43"/>
      <c r="K30" s="44"/>
    </row>
    <row r="31" spans="1:11" ht="15">
      <c r="A31" s="502" t="s">
        <v>189</v>
      </c>
      <c r="B31" s="498">
        <f>B27+B29</f>
        <v>0</v>
      </c>
      <c r="C31" s="500">
        <f>C27+C29</f>
        <v>0</v>
      </c>
      <c r="D31" s="500">
        <f>D27+D29</f>
        <v>0</v>
      </c>
      <c r="E31" s="500">
        <f aca="true" t="shared" si="6" ref="E31:J31">E27+E29</f>
        <v>687.0135276646271</v>
      </c>
      <c r="F31" s="500">
        <f t="shared" si="6"/>
        <v>1397.3084057727788</v>
      </c>
      <c r="G31" s="500">
        <f t="shared" si="6"/>
        <v>2133.0910497957802</v>
      </c>
      <c r="H31" s="500">
        <f t="shared" si="6"/>
        <v>2873.7043809889688</v>
      </c>
      <c r="I31" s="500">
        <f t="shared" si="6"/>
        <v>2904.735165161686</v>
      </c>
      <c r="J31" s="500">
        <f t="shared" si="6"/>
        <v>2933.7002594468677</v>
      </c>
      <c r="K31" s="501">
        <f>K27+K29</f>
        <v>2965.7669879093073</v>
      </c>
    </row>
    <row r="32" spans="1:11" ht="15">
      <c r="A32" s="502" t="s">
        <v>120</v>
      </c>
      <c r="B32" s="512">
        <f>B31/(ECO!H28*1000)</f>
        <v>0</v>
      </c>
      <c r="C32" s="512">
        <f>C31/(ECO!I28*1000)</f>
        <v>0</v>
      </c>
      <c r="D32" s="504">
        <f>D31/(ECO!J28*1000)</f>
        <v>0</v>
      </c>
      <c r="E32" s="504">
        <f>E31/(ECO!K28*1000)</f>
        <v>5.247378292356676E-05</v>
      </c>
      <c r="F32" s="504">
        <f>F31/(ECO!L28*1000)</f>
        <v>9.845351516834363E-05</v>
      </c>
      <c r="G32" s="504">
        <f>G31/(ECO!M28*1000)</f>
        <v>0.00013855802201086852</v>
      </c>
      <c r="H32" s="504">
        <f>H31/(ECO!N28*1000)</f>
        <v>0.0001720144509989099</v>
      </c>
      <c r="I32" s="504">
        <f>I31/(ECO!O28*1000)</f>
        <v>0.00016017146610019907</v>
      </c>
      <c r="J32" s="504">
        <f>J31/(ECO!P28*1000)</f>
        <v>0.0001490275017587381</v>
      </c>
      <c r="K32" s="505">
        <f>K31/(ECO!Q28*1000)</f>
        <v>0.00013872220486984567</v>
      </c>
    </row>
    <row r="33" spans="1:11" ht="15">
      <c r="A33" s="506" t="s">
        <v>123</v>
      </c>
      <c r="B33" s="513">
        <f>B31/('GGO (SQ)'!H11*1000)</f>
        <v>0</v>
      </c>
      <c r="C33" s="513">
        <f>C31/('GGO (SQ)'!I11*1000)</f>
        <v>0</v>
      </c>
      <c r="D33" s="508">
        <f>D31/('GGO (SQ)'!J11*1000)</f>
        <v>0</v>
      </c>
      <c r="E33" s="508">
        <f>E31/('GGO (SQ)'!K11*1000)</f>
        <v>0.000265916153164931</v>
      </c>
      <c r="F33" s="508">
        <f>F31/('GGO (SQ)'!L11*1000)</f>
        <v>0.0005023119965937962</v>
      </c>
      <c r="G33" s="508">
        <f>G31/('GGO (SQ)'!M11*1000)</f>
        <v>0.0007120352690416342</v>
      </c>
      <c r="H33" s="508">
        <f>H31/('GGO (SQ)'!N11*1000)</f>
        <v>0.000890537631716122</v>
      </c>
      <c r="I33" s="508">
        <f>I31/('GGO (SQ)'!O11*1000)</f>
        <v>0.0008354872456958233</v>
      </c>
      <c r="J33" s="508">
        <f>J31/('GGO (SQ)'!P11*1000)</f>
        <v>0.0007830245825035292</v>
      </c>
      <c r="K33" s="509">
        <f>K31/('GGO (SQ)'!Q11*1000)</f>
        <v>0.00073438558666426</v>
      </c>
    </row>
    <row r="34" spans="1:11" ht="15">
      <c r="A34" s="63"/>
      <c r="B34" s="69"/>
      <c r="C34" s="69"/>
      <c r="D34" s="69"/>
      <c r="E34" s="69"/>
      <c r="F34" s="69"/>
      <c r="G34" s="69"/>
      <c r="H34" s="69"/>
      <c r="I34" s="69"/>
      <c r="J34" s="69"/>
      <c r="K34" s="125"/>
    </row>
    <row r="35" spans="1:11" ht="30" customHeight="1">
      <c r="A35" s="598" t="s">
        <v>352</v>
      </c>
      <c r="B35" s="610"/>
      <c r="C35" s="610"/>
      <c r="D35" s="610"/>
      <c r="E35" s="610"/>
      <c r="F35" s="610"/>
      <c r="G35" s="610"/>
      <c r="H35" s="610"/>
      <c r="I35" s="610"/>
      <c r="J35" s="610"/>
      <c r="K35" s="611"/>
    </row>
    <row r="36" spans="1:11" ht="15">
      <c r="A36" s="65" t="s">
        <v>121</v>
      </c>
      <c r="B36" s="67">
        <f>POP!H$60</f>
        <v>64082.42121420116</v>
      </c>
      <c r="C36" s="42">
        <f>POP!I$60</f>
        <v>64360.18766125533</v>
      </c>
      <c r="D36" s="43">
        <f>POP!J$60</f>
        <v>64623.04486955623</v>
      </c>
      <c r="E36" s="43">
        <f>POP!K$60</f>
        <v>64764.57009053384</v>
      </c>
      <c r="F36" s="43">
        <f>POP!L$60</f>
        <v>64996.1397053735</v>
      </c>
      <c r="G36" s="43">
        <f>POP!M$60</f>
        <v>65104.80693273373</v>
      </c>
      <c r="H36" s="43">
        <f>POP!N$60</f>
        <v>65297.291041412514</v>
      </c>
      <c r="I36" s="43">
        <f>POP!O$60</f>
        <v>65361.40095234717</v>
      </c>
      <c r="J36" s="43">
        <f>POP!P$60</f>
        <v>65509.81931349555</v>
      </c>
      <c r="K36" s="44">
        <f>POP!Q$60</f>
        <v>65529.90528267191</v>
      </c>
    </row>
    <row r="37" spans="1:11" ht="15">
      <c r="A37" s="65" t="s">
        <v>131</v>
      </c>
      <c r="B37" s="67">
        <f>B15</f>
        <v>763.2044347747385</v>
      </c>
      <c r="C37" s="43">
        <f aca="true" t="shared" si="7" ref="C37:K37">C15</f>
        <v>755.9324208990716</v>
      </c>
      <c r="D37" s="43">
        <f t="shared" si="7"/>
        <v>749.1017919043643</v>
      </c>
      <c r="E37" s="43">
        <f t="shared" si="7"/>
        <v>743.0380970608297</v>
      </c>
      <c r="F37" s="43">
        <f t="shared" si="7"/>
        <v>737.4139220261944</v>
      </c>
      <c r="G37" s="43">
        <f t="shared" si="7"/>
        <v>732.2437985002628</v>
      </c>
      <c r="H37" s="43">
        <f t="shared" si="7"/>
        <v>721.7444097169716</v>
      </c>
      <c r="I37" s="43">
        <f t="shared" si="7"/>
        <v>711.5360748319268</v>
      </c>
      <c r="J37" s="43">
        <f t="shared" si="7"/>
        <v>701.377401950125</v>
      </c>
      <c r="K37" s="44">
        <f t="shared" si="7"/>
        <v>691.4127625397234</v>
      </c>
    </row>
    <row r="38" spans="1:11" ht="15">
      <c r="A38" s="65" t="s">
        <v>169</v>
      </c>
      <c r="B38" s="67">
        <f>62.3%*B37</f>
        <v>475.47636286466206</v>
      </c>
      <c r="C38" s="43">
        <f>62.3%*C37</f>
        <v>470.94589822012165</v>
      </c>
      <c r="D38" s="43">
        <f>62.3%*D37</f>
        <v>466.69041635641895</v>
      </c>
      <c r="E38" s="43">
        <f aca="true" t="shared" si="8" ref="E38:J38">62.3%*E37</f>
        <v>462.91273446889693</v>
      </c>
      <c r="F38" s="43">
        <f t="shared" si="8"/>
        <v>459.4088734223191</v>
      </c>
      <c r="G38" s="43">
        <f t="shared" si="8"/>
        <v>456.1878864656637</v>
      </c>
      <c r="H38" s="43">
        <f t="shared" si="8"/>
        <v>449.6467672536733</v>
      </c>
      <c r="I38" s="43">
        <f t="shared" si="8"/>
        <v>443.28697462029044</v>
      </c>
      <c r="J38" s="43">
        <f t="shared" si="8"/>
        <v>436.95812141492786</v>
      </c>
      <c r="K38" s="44">
        <f>62.3%*K37</f>
        <v>430.7501510622477</v>
      </c>
    </row>
    <row r="39" spans="1:11" ht="15">
      <c r="A39" s="64"/>
      <c r="B39" s="67"/>
      <c r="C39" s="43"/>
      <c r="D39" s="43"/>
      <c r="E39" s="43"/>
      <c r="F39" s="43"/>
      <c r="G39" s="43"/>
      <c r="H39" s="43"/>
      <c r="I39" s="43"/>
      <c r="J39" s="43"/>
      <c r="K39" s="44"/>
    </row>
    <row r="40" spans="1:11" s="77" customFormat="1" ht="15">
      <c r="A40" s="95" t="s">
        <v>122</v>
      </c>
      <c r="B40" s="126">
        <f>B38</f>
        <v>475.47636286466206</v>
      </c>
      <c r="C40" s="117">
        <f>C38</f>
        <v>470.94589822012165</v>
      </c>
      <c r="D40" s="117">
        <f aca="true" t="shared" si="9" ref="D40:K40">D38</f>
        <v>466.69041635641895</v>
      </c>
      <c r="E40" s="117">
        <f t="shared" si="9"/>
        <v>462.91273446889693</v>
      </c>
      <c r="F40" s="117">
        <f t="shared" si="9"/>
        <v>459.4088734223191</v>
      </c>
      <c r="G40" s="117">
        <f t="shared" si="9"/>
        <v>456.1878864656637</v>
      </c>
      <c r="H40" s="117">
        <f t="shared" si="9"/>
        <v>449.6467672536733</v>
      </c>
      <c r="I40" s="117">
        <f t="shared" si="9"/>
        <v>443.28697462029044</v>
      </c>
      <c r="J40" s="117">
        <f t="shared" si="9"/>
        <v>436.95812141492786</v>
      </c>
      <c r="K40" s="116">
        <f t="shared" si="9"/>
        <v>430.7501510622477</v>
      </c>
    </row>
    <row r="41" spans="1:13" s="77" customFormat="1" ht="15">
      <c r="A41" s="95" t="s">
        <v>146</v>
      </c>
      <c r="B41" s="197">
        <v>0</v>
      </c>
      <c r="C41" s="173">
        <v>0</v>
      </c>
      <c r="D41" s="201">
        <v>0</v>
      </c>
      <c r="E41" s="201">
        <v>0.25</v>
      </c>
      <c r="F41" s="201">
        <v>0.5</v>
      </c>
      <c r="G41" s="201">
        <v>0.75</v>
      </c>
      <c r="H41" s="201">
        <v>1</v>
      </c>
      <c r="I41" s="201">
        <v>1</v>
      </c>
      <c r="J41" s="201">
        <v>1</v>
      </c>
      <c r="K41" s="202">
        <v>1</v>
      </c>
      <c r="L41" s="203"/>
      <c r="M41" s="117"/>
    </row>
    <row r="42" spans="1:11" s="77" customFormat="1" ht="15">
      <c r="A42" s="95" t="s">
        <v>147</v>
      </c>
      <c r="B42" s="126">
        <f>B41*B40</f>
        <v>0</v>
      </c>
      <c r="C42" s="117">
        <f>C41*C40</f>
        <v>0</v>
      </c>
      <c r="D42" s="117">
        <f>D41*D40</f>
        <v>0</v>
      </c>
      <c r="E42" s="117">
        <f aca="true" t="shared" si="10" ref="E42:K42">E41*E40</f>
        <v>115.72818361722423</v>
      </c>
      <c r="F42" s="117">
        <f t="shared" si="10"/>
        <v>229.70443671115956</v>
      </c>
      <c r="G42" s="117">
        <f t="shared" si="10"/>
        <v>342.1409148492478</v>
      </c>
      <c r="H42" s="117">
        <f t="shared" si="10"/>
        <v>449.6467672536733</v>
      </c>
      <c r="I42" s="117">
        <f t="shared" si="10"/>
        <v>443.28697462029044</v>
      </c>
      <c r="J42" s="117">
        <f t="shared" si="10"/>
        <v>436.95812141492786</v>
      </c>
      <c r="K42" s="116">
        <f t="shared" si="10"/>
        <v>430.7501510622477</v>
      </c>
    </row>
    <row r="43" spans="1:11" s="77" customFormat="1" ht="15">
      <c r="A43" s="190"/>
      <c r="B43" s="145"/>
      <c r="C43" s="136"/>
      <c r="D43" s="147"/>
      <c r="E43" s="147"/>
      <c r="F43" s="147"/>
      <c r="G43" s="147"/>
      <c r="H43" s="147"/>
      <c r="I43" s="147"/>
      <c r="J43" s="147"/>
      <c r="K43" s="199"/>
    </row>
    <row r="44" spans="1:11" s="77" customFormat="1" ht="15">
      <c r="A44" s="95" t="s">
        <v>180</v>
      </c>
      <c r="B44" s="126">
        <v>4000</v>
      </c>
      <c r="C44" s="117">
        <f>B44*(1+ECO!I9)</f>
        <v>4121.2</v>
      </c>
      <c r="D44" s="117">
        <f>C44*(1+ECO!J9)</f>
        <v>4220.93304</v>
      </c>
      <c r="E44" s="117">
        <f>D44*(1+ECO!K9)</f>
        <v>4328.144739216</v>
      </c>
      <c r="F44" s="117">
        <f>E44*(1+ECO!L9)</f>
        <v>4435.049914274635</v>
      </c>
      <c r="G44" s="117">
        <f>F44*(1+ECO!M9)</f>
        <v>4545.482657140073</v>
      </c>
      <c r="H44" s="117">
        <f>G44*(1+ECO!N9)</f>
        <v>4659.574271834288</v>
      </c>
      <c r="I44" s="117">
        <f>H44*(1+ECO!O9)</f>
        <v>4777.461500911696</v>
      </c>
      <c r="J44" s="117">
        <f>I44*(1+ECO!P9)</f>
        <v>4894.987053834124</v>
      </c>
      <c r="K44" s="116">
        <f>J44*(1+ECO!Q9)</f>
        <v>5019.809223706894</v>
      </c>
    </row>
    <row r="45" spans="1:11" s="77" customFormat="1" ht="15">
      <c r="A45" s="95" t="s">
        <v>187</v>
      </c>
      <c r="B45" s="126">
        <f>B44*B42/1000</f>
        <v>0</v>
      </c>
      <c r="C45" s="117">
        <f>C44*C42/1000</f>
        <v>0</v>
      </c>
      <c r="D45" s="117">
        <f>D44*D42/1000</f>
        <v>0</v>
      </c>
      <c r="E45" s="117">
        <f aca="true" t="shared" si="11" ref="E45:H45">E44*E42/1000</f>
        <v>500.88832910191235</v>
      </c>
      <c r="F45" s="117">
        <f t="shared" si="11"/>
        <v>1018.7506423443315</v>
      </c>
      <c r="G45" s="117">
        <f t="shared" si="11"/>
        <v>1555.195594745294</v>
      </c>
      <c r="H45" s="117">
        <f t="shared" si="11"/>
        <v>2095.1625081086763</v>
      </c>
      <c r="I45" s="117">
        <f>I44*I42/1000</f>
        <v>2117.7864551040575</v>
      </c>
      <c r="J45" s="117">
        <f aca="true" t="shared" si="12" ref="J45">J44*J42/1000</f>
        <v>2138.9043473937513</v>
      </c>
      <c r="K45" s="116">
        <f>K44*K42/1000</f>
        <v>2162.283581415409</v>
      </c>
    </row>
    <row r="46" spans="1:11" s="77" customFormat="1" ht="15">
      <c r="A46" s="95"/>
      <c r="B46" s="205"/>
      <c r="C46" s="147"/>
      <c r="D46" s="147"/>
      <c r="E46" s="147"/>
      <c r="F46" s="147"/>
      <c r="G46" s="147"/>
      <c r="H46" s="147"/>
      <c r="I46" s="147"/>
      <c r="J46" s="147"/>
      <c r="K46" s="199"/>
    </row>
    <row r="47" spans="1:11" s="77" customFormat="1" ht="15">
      <c r="A47" s="184" t="s">
        <v>197</v>
      </c>
      <c r="B47" s="117">
        <f>5%*B45</f>
        <v>0</v>
      </c>
      <c r="C47" s="118">
        <f aca="true" t="shared" si="13" ref="C47:K47">5%*C45</f>
        <v>0</v>
      </c>
      <c r="D47" s="117">
        <f t="shared" si="13"/>
        <v>0</v>
      </c>
      <c r="E47" s="117">
        <f t="shared" si="13"/>
        <v>25.044416455095618</v>
      </c>
      <c r="F47" s="117">
        <f t="shared" si="13"/>
        <v>50.93753211721658</v>
      </c>
      <c r="G47" s="117">
        <f t="shared" si="13"/>
        <v>77.75977973726471</v>
      </c>
      <c r="H47" s="117">
        <f t="shared" si="13"/>
        <v>104.75812540543382</v>
      </c>
      <c r="I47" s="117">
        <f t="shared" si="13"/>
        <v>105.88932275520288</v>
      </c>
      <c r="J47" s="117">
        <f t="shared" si="13"/>
        <v>106.94521736968757</v>
      </c>
      <c r="K47" s="116">
        <f t="shared" si="13"/>
        <v>108.11417907077046</v>
      </c>
    </row>
    <row r="48" spans="1:11" ht="15">
      <c r="A48" s="65"/>
      <c r="B48" s="67"/>
      <c r="C48" s="43"/>
      <c r="D48" s="43"/>
      <c r="E48" s="43"/>
      <c r="F48" s="43"/>
      <c r="G48" s="43"/>
      <c r="H48" s="43"/>
      <c r="I48" s="43"/>
      <c r="J48" s="43"/>
      <c r="K48" s="44"/>
    </row>
    <row r="49" spans="1:11" ht="15">
      <c r="A49" s="502" t="s">
        <v>190</v>
      </c>
      <c r="B49" s="498">
        <f>B45+B47</f>
        <v>0</v>
      </c>
      <c r="C49" s="500">
        <f>C45+C47</f>
        <v>0</v>
      </c>
      <c r="D49" s="500">
        <f>D45+D47</f>
        <v>0</v>
      </c>
      <c r="E49" s="500">
        <f aca="true" t="shared" si="14" ref="E49:J49">E45+E47</f>
        <v>525.9327455570079</v>
      </c>
      <c r="F49" s="500">
        <f t="shared" si="14"/>
        <v>1069.688174461548</v>
      </c>
      <c r="G49" s="500">
        <f t="shared" si="14"/>
        <v>1632.955374482559</v>
      </c>
      <c r="H49" s="500">
        <f t="shared" si="14"/>
        <v>2199.9206335141102</v>
      </c>
      <c r="I49" s="500">
        <f t="shared" si="14"/>
        <v>2223.6757778592605</v>
      </c>
      <c r="J49" s="500">
        <f t="shared" si="14"/>
        <v>2245.849564763439</v>
      </c>
      <c r="K49" s="501">
        <f>K45+K47</f>
        <v>2270.39776048618</v>
      </c>
    </row>
    <row r="50" spans="1:11" ht="15">
      <c r="A50" s="502" t="s">
        <v>120</v>
      </c>
      <c r="B50" s="512">
        <f>B49/(ECO!H28*1000)</f>
        <v>0</v>
      </c>
      <c r="C50" s="512">
        <f>C49/(ECO!I28*1000)</f>
        <v>0</v>
      </c>
      <c r="D50" s="504">
        <f>D49/(ECO!J28*1000)</f>
        <v>0</v>
      </c>
      <c r="E50" s="504">
        <f>E49/(ECO!K28*1000)</f>
        <v>4.0170505545308574E-05</v>
      </c>
      <c r="F50" s="504">
        <f>F49/(ECO!L28*1000)</f>
        <v>7.536958947262885E-05</v>
      </c>
      <c r="G50" s="504">
        <f>G49/(ECO!M28*1000)</f>
        <v>0.00010607098405010993</v>
      </c>
      <c r="H50" s="504">
        <f>H49/(ECO!N28*1000)</f>
        <v>0.00013168304385048588</v>
      </c>
      <c r="I50" s="504">
        <f>I49/(ECO!O28*1000)</f>
        <v>0.00012261682708392208</v>
      </c>
      <c r="J50" s="504">
        <f>J49/(ECO!P28*1000)</f>
        <v>0.00011408573486159392</v>
      </c>
      <c r="K50" s="505">
        <f>K49/(ECO!Q28*1000)</f>
        <v>0.00010619667173793288</v>
      </c>
    </row>
    <row r="51" spans="1:11" ht="15">
      <c r="A51" s="506" t="s">
        <v>123</v>
      </c>
      <c r="B51" s="513">
        <f>B49/('GGO (SQ)'!H11*1000)</f>
        <v>0</v>
      </c>
      <c r="C51" s="513">
        <f>C49/('GGO (SQ)'!I11*1000)</f>
        <v>0</v>
      </c>
      <c r="D51" s="508">
        <f>D49/('GGO (SQ)'!J11*1000)</f>
        <v>0</v>
      </c>
      <c r="E51" s="508">
        <f>E49/('GGO (SQ)'!K11*1000)</f>
        <v>0.00020356806218561275</v>
      </c>
      <c r="F51" s="508">
        <f>F49/('GGO (SQ)'!L11*1000)</f>
        <v>0.0003845373007323969</v>
      </c>
      <c r="G51" s="508">
        <f>G49/('GGO (SQ)'!M11*1000)</f>
        <v>0.0005450877586842761</v>
      </c>
      <c r="H51" s="508">
        <f>H49/('GGO (SQ)'!N11*1000)</f>
        <v>0.0006817375245323144</v>
      </c>
      <c r="I51" s="508">
        <f>I49/('GGO (SQ)'!O11*1000)</f>
        <v>0.0006395945397179565</v>
      </c>
      <c r="J51" s="508">
        <f>J49/('GGO (SQ)'!P11*1000)</f>
        <v>0.0005994325467136135</v>
      </c>
      <c r="K51" s="509">
        <f>K49/('GGO (SQ)'!Q11*1000)</f>
        <v>0.0005621977040317816</v>
      </c>
    </row>
    <row r="52" spans="1:11" ht="15">
      <c r="A52" s="63"/>
      <c r="B52" s="69"/>
      <c r="C52" s="69"/>
      <c r="D52" s="69"/>
      <c r="E52" s="69"/>
      <c r="F52" s="69"/>
      <c r="G52" s="69"/>
      <c r="H52" s="69"/>
      <c r="I52" s="69"/>
      <c r="J52" s="69"/>
      <c r="K52" s="125"/>
    </row>
    <row r="53" spans="1:11" ht="30.75" customHeight="1">
      <c r="A53" s="612" t="s">
        <v>353</v>
      </c>
      <c r="B53" s="600"/>
      <c r="C53" s="600"/>
      <c r="D53" s="600"/>
      <c r="E53" s="600"/>
      <c r="F53" s="600"/>
      <c r="G53" s="600"/>
      <c r="H53" s="600"/>
      <c r="I53" s="600"/>
      <c r="J53" s="600"/>
      <c r="K53" s="613"/>
    </row>
    <row r="54" spans="1:11" ht="15">
      <c r="A54" s="65" t="s">
        <v>121</v>
      </c>
      <c r="B54" s="67">
        <f>POP!H$60</f>
        <v>64082.42121420116</v>
      </c>
      <c r="C54" s="42">
        <f>POP!I$60</f>
        <v>64360.18766125533</v>
      </c>
      <c r="D54" s="43">
        <f>POP!J$60</f>
        <v>64623.04486955623</v>
      </c>
      <c r="E54" s="43">
        <f>POP!K$60</f>
        <v>64764.57009053384</v>
      </c>
      <c r="F54" s="43">
        <f>POP!L$60</f>
        <v>64996.1397053735</v>
      </c>
      <c r="G54" s="43">
        <f>POP!M$60</f>
        <v>65104.80693273373</v>
      </c>
      <c r="H54" s="43">
        <f>POP!N$60</f>
        <v>65297.291041412514</v>
      </c>
      <c r="I54" s="43">
        <f>POP!O$60</f>
        <v>65361.40095234717</v>
      </c>
      <c r="J54" s="43">
        <f>POP!P$60</f>
        <v>65509.81931349555</v>
      </c>
      <c r="K54" s="44">
        <f>POP!Q$60</f>
        <v>65529.90528267191</v>
      </c>
    </row>
    <row r="55" spans="1:11" ht="15">
      <c r="A55" s="65" t="s">
        <v>131</v>
      </c>
      <c r="B55" s="67">
        <f>B15</f>
        <v>763.2044347747385</v>
      </c>
      <c r="C55" s="43">
        <f>C15</f>
        <v>755.9324208990716</v>
      </c>
      <c r="D55" s="43">
        <f>D15</f>
        <v>749.1017919043643</v>
      </c>
      <c r="E55" s="43">
        <f aca="true" t="shared" si="15" ref="E55:J55">E15</f>
        <v>743.0380970608297</v>
      </c>
      <c r="F55" s="43">
        <f t="shared" si="15"/>
        <v>737.4139220261944</v>
      </c>
      <c r="G55" s="43">
        <f t="shared" si="15"/>
        <v>732.2437985002628</v>
      </c>
      <c r="H55" s="43">
        <f t="shared" si="15"/>
        <v>721.7444097169716</v>
      </c>
      <c r="I55" s="43">
        <f t="shared" si="15"/>
        <v>711.5360748319268</v>
      </c>
      <c r="J55" s="43">
        <f t="shared" si="15"/>
        <v>701.377401950125</v>
      </c>
      <c r="K55" s="44">
        <f>K15</f>
        <v>691.4127625397234</v>
      </c>
    </row>
    <row r="56" spans="1:11" s="77" customFormat="1" ht="15">
      <c r="A56" s="95" t="s">
        <v>169</v>
      </c>
      <c r="B56" s="126">
        <f>62.3%*B55</f>
        <v>475.47636286466206</v>
      </c>
      <c r="C56" s="117">
        <f>62.3%*C55</f>
        <v>470.94589822012165</v>
      </c>
      <c r="D56" s="117">
        <f>62.3%*D55</f>
        <v>466.69041635641895</v>
      </c>
      <c r="E56" s="117">
        <f aca="true" t="shared" si="16" ref="E56:J56">62.3%*E55</f>
        <v>462.91273446889693</v>
      </c>
      <c r="F56" s="117">
        <f t="shared" si="16"/>
        <v>459.4088734223191</v>
      </c>
      <c r="G56" s="117">
        <f t="shared" si="16"/>
        <v>456.1878864656637</v>
      </c>
      <c r="H56" s="117">
        <f t="shared" si="16"/>
        <v>449.6467672536733</v>
      </c>
      <c r="I56" s="117">
        <f t="shared" si="16"/>
        <v>443.28697462029044</v>
      </c>
      <c r="J56" s="117">
        <f t="shared" si="16"/>
        <v>436.95812141492786</v>
      </c>
      <c r="K56" s="116">
        <f>62.3%*K55</f>
        <v>430.7501510622477</v>
      </c>
    </row>
    <row r="57" spans="1:11" s="77" customFormat="1" ht="15">
      <c r="A57" s="206"/>
      <c r="B57" s="126"/>
      <c r="C57" s="117"/>
      <c r="D57" s="117"/>
      <c r="E57" s="117"/>
      <c r="F57" s="117"/>
      <c r="G57" s="117"/>
      <c r="H57" s="117"/>
      <c r="I57" s="117"/>
      <c r="J57" s="117"/>
      <c r="K57" s="116"/>
    </row>
    <row r="58" spans="1:11" s="77" customFormat="1" ht="15">
      <c r="A58" s="95" t="s">
        <v>122</v>
      </c>
      <c r="B58" s="126">
        <f>B56</f>
        <v>475.47636286466206</v>
      </c>
      <c r="C58" s="117">
        <f>C56</f>
        <v>470.94589822012165</v>
      </c>
      <c r="D58" s="117">
        <f aca="true" t="shared" si="17" ref="D58:K58">D56</f>
        <v>466.69041635641895</v>
      </c>
      <c r="E58" s="117">
        <f t="shared" si="17"/>
        <v>462.91273446889693</v>
      </c>
      <c r="F58" s="117">
        <f t="shared" si="17"/>
        <v>459.4088734223191</v>
      </c>
      <c r="G58" s="117">
        <f t="shared" si="17"/>
        <v>456.1878864656637</v>
      </c>
      <c r="H58" s="117">
        <f t="shared" si="17"/>
        <v>449.6467672536733</v>
      </c>
      <c r="I58" s="117">
        <f t="shared" si="17"/>
        <v>443.28697462029044</v>
      </c>
      <c r="J58" s="117">
        <f t="shared" si="17"/>
        <v>436.95812141492786</v>
      </c>
      <c r="K58" s="116">
        <f t="shared" si="17"/>
        <v>430.7501510622477</v>
      </c>
    </row>
    <row r="59" spans="1:13" s="77" customFormat="1" ht="15">
      <c r="A59" s="95" t="s">
        <v>146</v>
      </c>
      <c r="B59" s="197">
        <v>0</v>
      </c>
      <c r="C59" s="173">
        <v>0</v>
      </c>
      <c r="D59" s="201">
        <v>0</v>
      </c>
      <c r="E59" s="201">
        <v>0.25</v>
      </c>
      <c r="F59" s="201">
        <v>0.5</v>
      </c>
      <c r="G59" s="201">
        <v>0.75</v>
      </c>
      <c r="H59" s="201">
        <v>1</v>
      </c>
      <c r="I59" s="201">
        <v>1</v>
      </c>
      <c r="J59" s="201">
        <v>1</v>
      </c>
      <c r="K59" s="202">
        <v>1</v>
      </c>
      <c r="L59" s="203"/>
      <c r="M59" s="117"/>
    </row>
    <row r="60" spans="1:11" s="77" customFormat="1" ht="15">
      <c r="A60" s="95" t="s">
        <v>147</v>
      </c>
      <c r="B60" s="126">
        <f>B59*B58</f>
        <v>0</v>
      </c>
      <c r="C60" s="117">
        <f>C59*C58</f>
        <v>0</v>
      </c>
      <c r="D60" s="117">
        <f>D59*D58</f>
        <v>0</v>
      </c>
      <c r="E60" s="117">
        <f aca="true" t="shared" si="18" ref="E60:J60">E59*E58</f>
        <v>115.72818361722423</v>
      </c>
      <c r="F60" s="117">
        <f t="shared" si="18"/>
        <v>229.70443671115956</v>
      </c>
      <c r="G60" s="117">
        <f t="shared" si="18"/>
        <v>342.1409148492478</v>
      </c>
      <c r="H60" s="117">
        <f t="shared" si="18"/>
        <v>449.6467672536733</v>
      </c>
      <c r="I60" s="117">
        <f t="shared" si="18"/>
        <v>443.28697462029044</v>
      </c>
      <c r="J60" s="117">
        <f t="shared" si="18"/>
        <v>436.95812141492786</v>
      </c>
      <c r="K60" s="116">
        <f aca="true" t="shared" si="19" ref="K60">K59*K58</f>
        <v>430.7501510622477</v>
      </c>
    </row>
    <row r="61" spans="1:11" s="77" customFormat="1" ht="15">
      <c r="A61" s="190"/>
      <c r="B61" s="145"/>
      <c r="C61" s="136"/>
      <c r="D61" s="147"/>
      <c r="E61" s="147"/>
      <c r="F61" s="147"/>
      <c r="G61" s="147"/>
      <c r="H61" s="147"/>
      <c r="I61" s="147"/>
      <c r="J61" s="147"/>
      <c r="K61" s="199"/>
    </row>
    <row r="62" spans="1:11" s="77" customFormat="1" ht="15">
      <c r="A62" s="95" t="s">
        <v>180</v>
      </c>
      <c r="B62" s="126">
        <v>6000</v>
      </c>
      <c r="C62" s="117">
        <f>B62*(1+ECO!I9)</f>
        <v>6181.8</v>
      </c>
      <c r="D62" s="117">
        <f>C62*(1+ECO!J9)</f>
        <v>6331.39956</v>
      </c>
      <c r="E62" s="117">
        <f>D62*(1+ECO!K9)</f>
        <v>6492.217108824</v>
      </c>
      <c r="F62" s="117">
        <f>E62*(1+ECO!L9)</f>
        <v>6652.574871411953</v>
      </c>
      <c r="G62" s="117">
        <f>F62*(1+ECO!M9)</f>
        <v>6818.223985710109</v>
      </c>
      <c r="H62" s="117">
        <f>G62*(1+ECO!N9)</f>
        <v>6989.361407751432</v>
      </c>
      <c r="I62" s="117">
        <f>H62*(1+ECO!O9)</f>
        <v>7166.1922513675445</v>
      </c>
      <c r="J62" s="117">
        <f>I62*(1+ECO!P9)</f>
        <v>7342.480580751186</v>
      </c>
      <c r="K62" s="116">
        <f>J62*(1+ECO!Q9)</f>
        <v>7529.713835560341</v>
      </c>
    </row>
    <row r="63" spans="1:11" s="77" customFormat="1" ht="15">
      <c r="A63" s="95" t="s">
        <v>187</v>
      </c>
      <c r="B63" s="126">
        <f>B62*B60/1000</f>
        <v>0</v>
      </c>
      <c r="C63" s="117">
        <f>C62*C60/1000</f>
        <v>0</v>
      </c>
      <c r="D63" s="117">
        <f>D62*D60/1000</f>
        <v>0</v>
      </c>
      <c r="E63" s="117">
        <f aca="true" t="shared" si="20" ref="E63:J63">E62*E60/1000</f>
        <v>751.3324936528686</v>
      </c>
      <c r="F63" s="117">
        <f t="shared" si="20"/>
        <v>1528.1259635164972</v>
      </c>
      <c r="G63" s="117">
        <f t="shared" si="20"/>
        <v>2332.7933921179415</v>
      </c>
      <c r="H63" s="117">
        <f t="shared" si="20"/>
        <v>3142.7437621630147</v>
      </c>
      <c r="I63" s="117">
        <f t="shared" si="20"/>
        <v>3176.6796826560867</v>
      </c>
      <c r="J63" s="117">
        <f t="shared" si="20"/>
        <v>3208.3565210906268</v>
      </c>
      <c r="K63" s="116">
        <f>K62*K60/1000</f>
        <v>3243.4253721231134</v>
      </c>
    </row>
    <row r="64" spans="1:11" s="77" customFormat="1" ht="15">
      <c r="A64" s="95"/>
      <c r="B64" s="205"/>
      <c r="C64" s="147"/>
      <c r="D64" s="147"/>
      <c r="E64" s="147"/>
      <c r="F64" s="147"/>
      <c r="G64" s="147"/>
      <c r="H64" s="147"/>
      <c r="I64" s="147"/>
      <c r="J64" s="147"/>
      <c r="K64" s="199"/>
    </row>
    <row r="65" spans="1:11" s="77" customFormat="1" ht="15">
      <c r="A65" s="184" t="s">
        <v>197</v>
      </c>
      <c r="B65" s="117">
        <f>5%*B63</f>
        <v>0</v>
      </c>
      <c r="C65" s="118">
        <f aca="true" t="shared" si="21" ref="C65:K65">5%*C63</f>
        <v>0</v>
      </c>
      <c r="D65" s="117">
        <f t="shared" si="21"/>
        <v>0</v>
      </c>
      <c r="E65" s="117">
        <f t="shared" si="21"/>
        <v>37.56662468264343</v>
      </c>
      <c r="F65" s="117">
        <f t="shared" si="21"/>
        <v>76.40629817582486</v>
      </c>
      <c r="G65" s="117">
        <f t="shared" si="21"/>
        <v>116.63966960589708</v>
      </c>
      <c r="H65" s="117">
        <f t="shared" si="21"/>
        <v>157.13718810815075</v>
      </c>
      <c r="I65" s="117">
        <f t="shared" si="21"/>
        <v>158.83398413280435</v>
      </c>
      <c r="J65" s="117">
        <f t="shared" si="21"/>
        <v>160.41782605453136</v>
      </c>
      <c r="K65" s="116">
        <f t="shared" si="21"/>
        <v>162.17126860615568</v>
      </c>
    </row>
    <row r="66" spans="1:11" ht="15">
      <c r="A66" s="65"/>
      <c r="B66" s="67"/>
      <c r="C66" s="43"/>
      <c r="D66" s="43"/>
      <c r="E66" s="43"/>
      <c r="F66" s="43"/>
      <c r="G66" s="43"/>
      <c r="H66" s="43"/>
      <c r="I66" s="43"/>
      <c r="J66" s="43"/>
      <c r="K66" s="44"/>
    </row>
    <row r="67" spans="1:11" ht="15">
      <c r="A67" s="502" t="s">
        <v>191</v>
      </c>
      <c r="B67" s="498">
        <f>B63+B65</f>
        <v>0</v>
      </c>
      <c r="C67" s="500">
        <f>C63+C65</f>
        <v>0</v>
      </c>
      <c r="D67" s="500">
        <f>D63+D65</f>
        <v>0</v>
      </c>
      <c r="E67" s="500">
        <f aca="true" t="shared" si="22" ref="E67:J67">E63+E65</f>
        <v>788.8991183355121</v>
      </c>
      <c r="F67" s="500">
        <f t="shared" si="22"/>
        <v>1604.532261692322</v>
      </c>
      <c r="G67" s="500">
        <f t="shared" si="22"/>
        <v>2449.4330617238384</v>
      </c>
      <c r="H67" s="500">
        <f t="shared" si="22"/>
        <v>3299.8809502711656</v>
      </c>
      <c r="I67" s="500">
        <f t="shared" si="22"/>
        <v>3335.513666788891</v>
      </c>
      <c r="J67" s="500">
        <f t="shared" si="22"/>
        <v>3368.774347145158</v>
      </c>
      <c r="K67" s="501">
        <f>K63+K65</f>
        <v>3405.596640729269</v>
      </c>
    </row>
    <row r="68" spans="1:11" ht="15">
      <c r="A68" s="502" t="s">
        <v>120</v>
      </c>
      <c r="B68" s="503">
        <f>B67/(ECO!H28*1000)</f>
        <v>0</v>
      </c>
      <c r="C68" s="504">
        <f>C67/(ECO!I28*1000)</f>
        <v>0</v>
      </c>
      <c r="D68" s="504">
        <f>D67/(ECO!J28*1000)</f>
        <v>0</v>
      </c>
      <c r="E68" s="504">
        <f>E67/(ECO!K28*1000)</f>
        <v>6.025575831796287E-05</v>
      </c>
      <c r="F68" s="504">
        <f>F67/(ECO!L28*1000)</f>
        <v>0.00011305438420894327</v>
      </c>
      <c r="G68" s="504">
        <f>G67/(ECO!M28*1000)</f>
        <v>0.0001591064760751649</v>
      </c>
      <c r="H68" s="504">
        <f>H67/(ECO!N28*1000)</f>
        <v>0.00019752456577572884</v>
      </c>
      <c r="I68" s="504">
        <f>I67/(ECO!O28*1000)</f>
        <v>0.00018392524062588314</v>
      </c>
      <c r="J68" s="504">
        <f>J67/(ECO!P28*1000)</f>
        <v>0.00017112860229239084</v>
      </c>
      <c r="K68" s="505">
        <f>K67/(ECO!Q28*1000)</f>
        <v>0.0001592950076068993</v>
      </c>
    </row>
    <row r="69" spans="1:11" ht="15">
      <c r="A69" s="506" t="s">
        <v>123</v>
      </c>
      <c r="B69" s="507">
        <f>B67/('GGO (SQ)'!H11*1000)</f>
        <v>0</v>
      </c>
      <c r="C69" s="508">
        <f>C67/('GGO (SQ)'!I11*1000)</f>
        <v>0</v>
      </c>
      <c r="D69" s="508">
        <f>D67/('GGO (SQ)'!J11*1000)</f>
        <v>0</v>
      </c>
      <c r="E69" s="508">
        <f>E67/('GGO (SQ)'!K11*1000)</f>
        <v>0.0003053520932784192</v>
      </c>
      <c r="F69" s="508">
        <f>F67/('GGO (SQ)'!L11*1000)</f>
        <v>0.0005768059510985954</v>
      </c>
      <c r="G69" s="508">
        <f>G67/('GGO (SQ)'!M11*1000)</f>
        <v>0.000817631638026414</v>
      </c>
      <c r="H69" s="508">
        <f>H67/('GGO (SQ)'!N11*1000)</f>
        <v>0.0010226062867984716</v>
      </c>
      <c r="I69" s="508">
        <f>I67/('GGO (SQ)'!O11*1000)</f>
        <v>0.0009593918095769349</v>
      </c>
      <c r="J69" s="508">
        <f>J67/('GGO (SQ)'!P11*1000)</f>
        <v>0.0008991488200704202</v>
      </c>
      <c r="K69" s="509">
        <f>K67/('GGO (SQ)'!Q11*1000)</f>
        <v>0.0008432965560476722</v>
      </c>
    </row>
  </sheetData>
  <mergeCells count="8">
    <mergeCell ref="A35:K35"/>
    <mergeCell ref="A53:K53"/>
    <mergeCell ref="J4:K4"/>
    <mergeCell ref="J5:K5"/>
    <mergeCell ref="L26:N26"/>
    <mergeCell ref="L27:N27"/>
    <mergeCell ref="L16:N16"/>
    <mergeCell ref="A17:K17"/>
  </mergeCells>
  <printOptions/>
  <pageMargins left="0.7" right="0.7" top="0.75" bottom="0.75" header="0.3" footer="0.3"/>
  <pageSetup horizontalDpi="600" verticalDpi="600" orientation="portrait" paperSize="5" r:id="rId1"/>
</worksheet>
</file>

<file path=xl/worksheets/sheet13.xml><?xml version="1.0" encoding="utf-8"?>
<worksheet xmlns="http://schemas.openxmlformats.org/spreadsheetml/2006/main" xmlns:r="http://schemas.openxmlformats.org/officeDocument/2006/relationships">
  <sheetPr>
    <tabColor theme="6" tint="-0.24997000396251678"/>
  </sheetPr>
  <dimension ref="A1:L126"/>
  <sheetViews>
    <sheetView workbookViewId="0" topLeftCell="A1">
      <pane ySplit="8" topLeftCell="A9" activePane="bottomLeft" state="frozen"/>
      <selection pane="bottomLeft" activeCell="A2" sqref="A2"/>
    </sheetView>
  </sheetViews>
  <sheetFormatPr defaultColWidth="8.8515625" defaultRowHeight="15"/>
  <cols>
    <col min="1" max="1" width="62.421875" style="1" customWidth="1"/>
    <col min="2" max="3" width="11.00390625" style="38" customWidth="1"/>
    <col min="4" max="10" width="11.00390625" style="1" customWidth="1"/>
    <col min="11" max="11" width="11.421875" style="1" customWidth="1"/>
    <col min="12" max="12" width="108.57421875" style="1" bestFit="1" customWidth="1"/>
    <col min="13" max="16384" width="8.8515625" style="1" customWidth="1"/>
  </cols>
  <sheetData>
    <row r="1" ht="18.75">
      <c r="A1" s="579" t="s">
        <v>132</v>
      </c>
    </row>
    <row r="2" spans="1:11" ht="15">
      <c r="A2" s="142"/>
      <c r="B2" s="239"/>
      <c r="C2" s="239"/>
      <c r="D2" s="238"/>
      <c r="I2" s="518" t="s">
        <v>32</v>
      </c>
      <c r="J2" s="519"/>
      <c r="K2" s="519" t="str">
        <f ca="1">CELL("contents",README!I6)</f>
        <v>1.1</v>
      </c>
    </row>
    <row r="3" spans="1:11" ht="15">
      <c r="A3" s="142"/>
      <c r="B3" s="239"/>
      <c r="C3" s="239"/>
      <c r="D3" s="237"/>
      <c r="I3" s="518" t="s">
        <v>28</v>
      </c>
      <c r="J3" s="519"/>
      <c r="K3" s="519" t="str">
        <f ca="1">IF(README!I7="","",CELL("contents",README!I7))</f>
        <v>Coresia</v>
      </c>
    </row>
    <row r="4" spans="1:11" ht="15">
      <c r="A4" s="142"/>
      <c r="B4" s="239"/>
      <c r="C4" s="239"/>
      <c r="D4" s="238"/>
      <c r="I4" s="518" t="s">
        <v>33</v>
      </c>
      <c r="J4" s="602">
        <f ca="1">CELL("contents",README!H8)</f>
        <v>41565</v>
      </c>
      <c r="K4" s="602"/>
    </row>
    <row r="5" spans="1:11" ht="15">
      <c r="A5" s="142"/>
      <c r="B5" s="239"/>
      <c r="C5" s="239"/>
      <c r="I5" s="518" t="s">
        <v>25</v>
      </c>
      <c r="J5" s="602">
        <f ca="1">CELL("contents",README!H9)</f>
        <v>41605</v>
      </c>
      <c r="K5" s="602"/>
    </row>
    <row r="6" spans="1:11" ht="15">
      <c r="A6" s="45"/>
      <c r="B6" s="239"/>
      <c r="C6" s="239"/>
      <c r="D6" s="238"/>
      <c r="I6" s="518" t="s">
        <v>26</v>
      </c>
      <c r="J6" s="519"/>
      <c r="K6" s="519" t="str">
        <f ca="1">IF(README!I10="","",CELL("contents",README!I10))</f>
        <v>ABND guide</v>
      </c>
    </row>
    <row r="8" spans="1:12" ht="15">
      <c r="A8" s="313" t="s">
        <v>220</v>
      </c>
      <c r="B8" s="66">
        <v>2011</v>
      </c>
      <c r="C8" s="300">
        <v>2012</v>
      </c>
      <c r="D8" s="300">
        <v>2013</v>
      </c>
      <c r="E8" s="300">
        <v>2014</v>
      </c>
      <c r="F8" s="300">
        <v>2015</v>
      </c>
      <c r="G8" s="300">
        <v>2016</v>
      </c>
      <c r="H8" s="300">
        <v>2017</v>
      </c>
      <c r="I8" s="300">
        <v>2018</v>
      </c>
      <c r="J8" s="300">
        <v>2019</v>
      </c>
      <c r="K8" s="300">
        <v>2020</v>
      </c>
      <c r="L8" s="59" t="s">
        <v>304</v>
      </c>
    </row>
    <row r="9" spans="1:11" ht="15">
      <c r="A9" s="8"/>
      <c r="B9" s="41"/>
      <c r="C9" s="40"/>
      <c r="D9" s="4"/>
      <c r="E9" s="4"/>
      <c r="F9" s="4"/>
      <c r="G9" s="4"/>
      <c r="H9" s="4"/>
      <c r="I9" s="4"/>
      <c r="J9" s="4"/>
      <c r="K9" s="10"/>
    </row>
    <row r="10" spans="1:11" ht="15">
      <c r="A10" s="607" t="s">
        <v>354</v>
      </c>
      <c r="B10" s="608"/>
      <c r="C10" s="608"/>
      <c r="D10" s="608"/>
      <c r="E10" s="608"/>
      <c r="F10" s="608"/>
      <c r="G10" s="608"/>
      <c r="H10" s="608"/>
      <c r="I10" s="608"/>
      <c r="J10" s="608"/>
      <c r="K10" s="609"/>
    </row>
    <row r="11" spans="1:11" ht="15">
      <c r="A11" s="65" t="s">
        <v>286</v>
      </c>
      <c r="B11" s="42">
        <f>SUM(POP!H49:H57)</f>
        <v>42861.66350943154</v>
      </c>
      <c r="C11" s="42">
        <f>SUM(POP!I49:I57)</f>
        <v>42942.15691021228</v>
      </c>
      <c r="D11" s="43">
        <f>SUM(POP!J49:J57)</f>
        <v>42983.28895586684</v>
      </c>
      <c r="E11" s="43">
        <f>SUM(POP!K49:K57)</f>
        <v>42988.62745159926</v>
      </c>
      <c r="F11" s="43">
        <f>SUM(POP!L49:L57)</f>
        <v>42960.516946727235</v>
      </c>
      <c r="G11" s="43">
        <f>SUM(POP!M49:M57)</f>
        <v>42899.082733137155</v>
      </c>
      <c r="H11" s="43">
        <f>SUM(POP!N49:N57)</f>
        <v>42802.71351393502</v>
      </c>
      <c r="I11" s="43">
        <f>SUM(POP!O49:O57)</f>
        <v>42670.43806487074</v>
      </c>
      <c r="J11" s="43">
        <f>SUM(POP!P49:P57)</f>
        <v>42500.77518410569</v>
      </c>
      <c r="K11" s="44">
        <f>SUM(POP!Q49:Q57)</f>
        <v>42293.16448024218</v>
      </c>
    </row>
    <row r="12" spans="1:11" ht="15">
      <c r="A12" s="65" t="s">
        <v>133</v>
      </c>
      <c r="B12" s="42">
        <f>4.5%*B11</f>
        <v>1928.7748579244194</v>
      </c>
      <c r="C12" s="42">
        <f aca="true" t="shared" si="0" ref="C12:K12">4.5%*C11</f>
        <v>1932.3970609595526</v>
      </c>
      <c r="D12" s="43">
        <f t="shared" si="0"/>
        <v>1934.2480030140077</v>
      </c>
      <c r="E12" s="43">
        <f t="shared" si="0"/>
        <v>1934.4882353219668</v>
      </c>
      <c r="F12" s="43">
        <f t="shared" si="0"/>
        <v>1933.2232626027255</v>
      </c>
      <c r="G12" s="43">
        <f t="shared" si="0"/>
        <v>1930.458722991172</v>
      </c>
      <c r="H12" s="43">
        <f t="shared" si="0"/>
        <v>1926.122108127076</v>
      </c>
      <c r="I12" s="43">
        <f t="shared" si="0"/>
        <v>1920.1697129191832</v>
      </c>
      <c r="J12" s="43">
        <f t="shared" si="0"/>
        <v>1912.534883284756</v>
      </c>
      <c r="K12" s="44">
        <f t="shared" si="0"/>
        <v>1903.192401610898</v>
      </c>
    </row>
    <row r="13" spans="1:11" ht="15">
      <c r="A13" s="65" t="s">
        <v>134</v>
      </c>
      <c r="B13" s="67">
        <f>0.25%*B11</f>
        <v>107.15415877357886</v>
      </c>
      <c r="C13" s="43">
        <f>B13*(1+10%)</f>
        <v>117.86957465093676</v>
      </c>
      <c r="D13" s="43">
        <f aca="true" t="shared" si="1" ref="D13:K13">C13*(1+10%)</f>
        <v>129.65653211603043</v>
      </c>
      <c r="E13" s="43">
        <f t="shared" si="1"/>
        <v>142.6221853276335</v>
      </c>
      <c r="F13" s="43">
        <f t="shared" si="1"/>
        <v>156.88440386039687</v>
      </c>
      <c r="G13" s="43">
        <f t="shared" si="1"/>
        <v>172.57284424643657</v>
      </c>
      <c r="H13" s="43">
        <f t="shared" si="1"/>
        <v>189.83012867108025</v>
      </c>
      <c r="I13" s="43">
        <f t="shared" si="1"/>
        <v>208.8131415381883</v>
      </c>
      <c r="J13" s="43">
        <f t="shared" si="1"/>
        <v>229.69445569200712</v>
      </c>
      <c r="K13" s="44">
        <f t="shared" si="1"/>
        <v>252.66390126120785</v>
      </c>
    </row>
    <row r="14" spans="1:11" ht="15">
      <c r="A14" s="65" t="s">
        <v>135</v>
      </c>
      <c r="B14" s="67">
        <f>12%*B13</f>
        <v>12.858499052829462</v>
      </c>
      <c r="C14" s="43">
        <f>B14*(1+16%)</f>
        <v>14.915858901282174</v>
      </c>
      <c r="D14" s="43">
        <f aca="true" t="shared" si="2" ref="D14:K14">C14*(1+16%)</f>
        <v>17.302396325487322</v>
      </c>
      <c r="E14" s="43">
        <f t="shared" si="2"/>
        <v>20.070779737565292</v>
      </c>
      <c r="F14" s="43">
        <f t="shared" si="2"/>
        <v>23.282104495575737</v>
      </c>
      <c r="G14" s="43">
        <f t="shared" si="2"/>
        <v>27.007241214867854</v>
      </c>
      <c r="H14" s="43">
        <f t="shared" si="2"/>
        <v>31.328399809246708</v>
      </c>
      <c r="I14" s="43">
        <f t="shared" si="2"/>
        <v>36.34094377872618</v>
      </c>
      <c r="J14" s="43">
        <f t="shared" si="2"/>
        <v>42.15549478332236</v>
      </c>
      <c r="K14" s="44">
        <f t="shared" si="2"/>
        <v>48.900373948653936</v>
      </c>
    </row>
    <row r="15" spans="1:11" ht="15">
      <c r="A15" s="65"/>
      <c r="B15" s="106"/>
      <c r="C15" s="139"/>
      <c r="D15" s="140"/>
      <c r="E15" s="140"/>
      <c r="F15" s="140"/>
      <c r="G15" s="140"/>
      <c r="H15" s="140"/>
      <c r="I15" s="140"/>
      <c r="J15" s="140"/>
      <c r="K15" s="141"/>
    </row>
    <row r="16" spans="1:11" ht="15">
      <c r="A16" s="319" t="s">
        <v>298</v>
      </c>
      <c r="B16" s="106">
        <v>0.025</v>
      </c>
      <c r="C16" s="107">
        <f aca="true" t="shared" si="3" ref="C16:J19">B16</f>
        <v>0.025</v>
      </c>
      <c r="D16" s="107">
        <f t="shared" si="3"/>
        <v>0.025</v>
      </c>
      <c r="E16" s="107">
        <f t="shared" si="3"/>
        <v>0.025</v>
      </c>
      <c r="F16" s="107">
        <f t="shared" si="3"/>
        <v>0.025</v>
      </c>
      <c r="G16" s="107">
        <f t="shared" si="3"/>
        <v>0.025</v>
      </c>
      <c r="H16" s="107">
        <f t="shared" si="3"/>
        <v>0.025</v>
      </c>
      <c r="I16" s="107">
        <f t="shared" si="3"/>
        <v>0.025</v>
      </c>
      <c r="J16" s="107">
        <f t="shared" si="3"/>
        <v>0.025</v>
      </c>
      <c r="K16" s="143">
        <f>J16</f>
        <v>0.025</v>
      </c>
    </row>
    <row r="17" spans="1:11" ht="15">
      <c r="A17" s="319" t="s">
        <v>299</v>
      </c>
      <c r="B17" s="106">
        <f>1-B16</f>
        <v>0.975</v>
      </c>
      <c r="C17" s="107">
        <f t="shared" si="3"/>
        <v>0.975</v>
      </c>
      <c r="D17" s="107">
        <f t="shared" si="3"/>
        <v>0.975</v>
      </c>
      <c r="E17" s="107">
        <f t="shared" si="3"/>
        <v>0.975</v>
      </c>
      <c r="F17" s="107">
        <f t="shared" si="3"/>
        <v>0.975</v>
      </c>
      <c r="G17" s="107">
        <f t="shared" si="3"/>
        <v>0.975</v>
      </c>
      <c r="H17" s="107">
        <f t="shared" si="3"/>
        <v>0.975</v>
      </c>
      <c r="I17" s="107">
        <f t="shared" si="3"/>
        <v>0.975</v>
      </c>
      <c r="J17" s="107">
        <f t="shared" si="3"/>
        <v>0.975</v>
      </c>
      <c r="K17" s="143">
        <f>J17</f>
        <v>0.975</v>
      </c>
    </row>
    <row r="18" spans="1:11" ht="15">
      <c r="A18" s="319" t="s">
        <v>136</v>
      </c>
      <c r="B18" s="106">
        <v>0.91</v>
      </c>
      <c r="C18" s="107">
        <f t="shared" si="3"/>
        <v>0.91</v>
      </c>
      <c r="D18" s="107">
        <f t="shared" si="3"/>
        <v>0.91</v>
      </c>
      <c r="E18" s="107">
        <f t="shared" si="3"/>
        <v>0.91</v>
      </c>
      <c r="F18" s="107">
        <f t="shared" si="3"/>
        <v>0.91</v>
      </c>
      <c r="G18" s="107">
        <f t="shared" si="3"/>
        <v>0.91</v>
      </c>
      <c r="H18" s="107">
        <f t="shared" si="3"/>
        <v>0.91</v>
      </c>
      <c r="I18" s="107">
        <f t="shared" si="3"/>
        <v>0.91</v>
      </c>
      <c r="J18" s="107">
        <f t="shared" si="3"/>
        <v>0.91</v>
      </c>
      <c r="K18" s="143">
        <f>J18</f>
        <v>0.91</v>
      </c>
    </row>
    <row r="19" spans="1:11" ht="15">
      <c r="A19" s="319" t="s">
        <v>137</v>
      </c>
      <c r="B19" s="106">
        <f>1-B18</f>
        <v>0.08999999999999997</v>
      </c>
      <c r="C19" s="107">
        <f t="shared" si="3"/>
        <v>0.08999999999999997</v>
      </c>
      <c r="D19" s="107">
        <f t="shared" si="3"/>
        <v>0.08999999999999997</v>
      </c>
      <c r="E19" s="107">
        <f t="shared" si="3"/>
        <v>0.08999999999999997</v>
      </c>
      <c r="F19" s="107">
        <f t="shared" si="3"/>
        <v>0.08999999999999997</v>
      </c>
      <c r="G19" s="107">
        <f t="shared" si="3"/>
        <v>0.08999999999999997</v>
      </c>
      <c r="H19" s="107">
        <f t="shared" si="3"/>
        <v>0.08999999999999997</v>
      </c>
      <c r="I19" s="107">
        <f t="shared" si="3"/>
        <v>0.08999999999999997</v>
      </c>
      <c r="J19" s="107">
        <f t="shared" si="3"/>
        <v>0.08999999999999997</v>
      </c>
      <c r="K19" s="143">
        <f>J19</f>
        <v>0.08999999999999997</v>
      </c>
    </row>
    <row r="20" spans="1:11" ht="15">
      <c r="A20" s="8"/>
      <c r="B20" s="67"/>
      <c r="C20" s="43"/>
      <c r="D20" s="43"/>
      <c r="E20" s="43"/>
      <c r="F20" s="43"/>
      <c r="G20" s="43"/>
      <c r="H20" s="43"/>
      <c r="I20" s="43"/>
      <c r="J20" s="43"/>
      <c r="K20" s="44"/>
    </row>
    <row r="21" spans="1:12" ht="15">
      <c r="A21" s="319" t="s">
        <v>287</v>
      </c>
      <c r="B21" s="67">
        <v>573</v>
      </c>
      <c r="C21" s="43">
        <f>B21*(1+ECO!I$12)</f>
        <v>636.3203078352021</v>
      </c>
      <c r="D21" s="43">
        <f>C21*(1+ECO!J$12)</f>
        <v>738.6376633715917</v>
      </c>
      <c r="E21" s="43">
        <f>D21*(1+ECO!K$12)</f>
        <v>782.9559231738872</v>
      </c>
      <c r="F21" s="43">
        <f>E21*(1+ECO!L$12)</f>
        <v>829.9332785643204</v>
      </c>
      <c r="G21" s="43">
        <f>F21*(1+ECO!M$12)</f>
        <v>879.7292752781797</v>
      </c>
      <c r="H21" s="43">
        <f>G21*(1+ECO!N$12)</f>
        <v>932.5130317948705</v>
      </c>
      <c r="I21" s="43">
        <f>H21*(1+ECO!O$12)</f>
        <v>988.4638137025628</v>
      </c>
      <c r="J21" s="43">
        <f>I21*(1+ECO!P$12)</f>
        <v>1047.7716425247165</v>
      </c>
      <c r="K21" s="44">
        <f>J21*(1+ECO!Q$12)</f>
        <v>1110.6379410761995</v>
      </c>
      <c r="L21" s="1" t="s">
        <v>289</v>
      </c>
    </row>
    <row r="22" spans="1:11" ht="15">
      <c r="A22" s="319" t="s">
        <v>292</v>
      </c>
      <c r="B22" s="67">
        <f>B21/3</f>
        <v>191</v>
      </c>
      <c r="C22" s="43">
        <f>B22*(1+ECO!I$12)</f>
        <v>212.10676927840072</v>
      </c>
      <c r="D22" s="43">
        <f>C22*(1+ECO!J$12)</f>
        <v>246.21255445719723</v>
      </c>
      <c r="E22" s="43">
        <f>D22*(1+ECO!K$12)</f>
        <v>260.9853077246291</v>
      </c>
      <c r="F22" s="43">
        <f>E22*(1+ECO!L$12)</f>
        <v>276.6444261881068</v>
      </c>
      <c r="G22" s="43">
        <f>F22*(1+ECO!M$12)</f>
        <v>293.2430917593932</v>
      </c>
      <c r="H22" s="43">
        <f>G22*(1+ECO!N$12)</f>
        <v>310.8376772649568</v>
      </c>
      <c r="I22" s="43">
        <f>H22*(1+ECO!O$12)</f>
        <v>329.48793790085426</v>
      </c>
      <c r="J22" s="43">
        <f>I22*(1+ECO!P$12)</f>
        <v>349.2572141749055</v>
      </c>
      <c r="K22" s="44">
        <f>J22*(1+ECO!Q$12)</f>
        <v>370.21264702539986</v>
      </c>
    </row>
    <row r="23" spans="1:11" ht="15">
      <c r="A23" s="319" t="s">
        <v>138</v>
      </c>
      <c r="B23" s="67">
        <v>570</v>
      </c>
      <c r="C23" s="43">
        <f>B23*(1+ECO!I$12)</f>
        <v>632.9887878988923</v>
      </c>
      <c r="D23" s="43">
        <f>C23*(1+ECO!J$12)</f>
        <v>734.7704504743583</v>
      </c>
      <c r="E23" s="43">
        <f>D23*(1+ECO!K$12)</f>
        <v>778.8566775028198</v>
      </c>
      <c r="F23" s="43">
        <f>E23*(1+ECO!L$12)</f>
        <v>825.588078152989</v>
      </c>
      <c r="G23" s="43">
        <f>F23*(1+ECO!M$12)</f>
        <v>875.1233628421685</v>
      </c>
      <c r="H23" s="43">
        <f>G23*(1+ECO!N$12)</f>
        <v>927.6307646126986</v>
      </c>
      <c r="I23" s="43">
        <f>H23*(1+ECO!O$12)</f>
        <v>983.2886104894606</v>
      </c>
      <c r="J23" s="43">
        <f>I23*(1+ECO!P$12)</f>
        <v>1042.2859271188283</v>
      </c>
      <c r="K23" s="44">
        <f>J23*(1+ECO!Q$12)</f>
        <v>1104.8230827459581</v>
      </c>
    </row>
    <row r="24" spans="1:11" ht="15">
      <c r="A24" s="319" t="s">
        <v>139</v>
      </c>
      <c r="B24" s="67">
        <v>2849</v>
      </c>
      <c r="C24" s="43">
        <f>B24*(1+ECO!I$12)</f>
        <v>3163.8334328490246</v>
      </c>
      <c r="D24" s="43">
        <f>C24*(1+ECO!J$12)</f>
        <v>3672.563181406047</v>
      </c>
      <c r="E24" s="43">
        <f>D24*(1+ECO!K$12)</f>
        <v>3892.9169722904103</v>
      </c>
      <c r="F24" s="43">
        <f>E24*(1+ECO!L$12)</f>
        <v>4126.491990627836</v>
      </c>
      <c r="G24" s="43">
        <f>F24*(1+ECO!M$12)</f>
        <v>4374.081510065506</v>
      </c>
      <c r="H24" s="43">
        <f>G24*(1+ECO!N$12)</f>
        <v>4636.526400669437</v>
      </c>
      <c r="I24" s="43">
        <f>H24*(1+ECO!O$12)</f>
        <v>4914.717984709603</v>
      </c>
      <c r="J24" s="43">
        <f>I24*(1+ECO!P$12)</f>
        <v>5209.60106379218</v>
      </c>
      <c r="K24" s="44">
        <f>J24*(1+ECO!Q$12)</f>
        <v>5522.177127619711</v>
      </c>
    </row>
    <row r="25" spans="1:12" ht="15">
      <c r="A25" s="319" t="s">
        <v>140</v>
      </c>
      <c r="B25" s="67">
        <v>13125</v>
      </c>
      <c r="C25" s="43">
        <f>B25*(1+ECO!I$9)</f>
        <v>13522.6875</v>
      </c>
      <c r="D25" s="43">
        <f>C25*(1+ECO!J$9)</f>
        <v>13849.9365375</v>
      </c>
      <c r="E25" s="43">
        <f>D25*(1+ECO!K$9)</f>
        <v>14201.7249255525</v>
      </c>
      <c r="F25" s="43">
        <f>E25*(1+ECO!L$9)</f>
        <v>14552.507531213647</v>
      </c>
      <c r="G25" s="43">
        <f>F25*(1+ECO!M$9)</f>
        <v>14914.864968740865</v>
      </c>
      <c r="H25" s="43">
        <f>G25*(1+ECO!N$9)</f>
        <v>15289.22807945626</v>
      </c>
      <c r="I25" s="43">
        <f>H25*(1+ECO!O$9)</f>
        <v>15676.045549866505</v>
      </c>
      <c r="J25" s="43">
        <f>I25*(1+ECO!P$9)</f>
        <v>16061.67627039322</v>
      </c>
      <c r="K25" s="44">
        <f>J25*(1+ECO!Q$9)</f>
        <v>16471.24901528825</v>
      </c>
      <c r="L25" s="1" t="s">
        <v>288</v>
      </c>
    </row>
    <row r="26" spans="1:11" ht="15">
      <c r="A26" s="319" t="s">
        <v>141</v>
      </c>
      <c r="B26" s="67">
        <f>B25*12</f>
        <v>157500</v>
      </c>
      <c r="C26" s="43">
        <f>B26*(1+ECO!I$9)</f>
        <v>162272.25</v>
      </c>
      <c r="D26" s="43">
        <f>C26*(1+ECO!J$9)</f>
        <v>166199.23845</v>
      </c>
      <c r="E26" s="43">
        <f>D26*(1+ECO!K$9)</f>
        <v>170420.69910663003</v>
      </c>
      <c r="F26" s="43">
        <f>E26*(1+ECO!L$9)</f>
        <v>174630.0903745638</v>
      </c>
      <c r="G26" s="43">
        <f>F26*(1+ECO!M$9)</f>
        <v>178978.37962489043</v>
      </c>
      <c r="H26" s="43">
        <f>G26*(1+ECO!N$9)</f>
        <v>183470.73695347516</v>
      </c>
      <c r="I26" s="43">
        <f>H26*(1+ECO!O$9)</f>
        <v>188112.5465983981</v>
      </c>
      <c r="J26" s="43">
        <f>I26*(1+ECO!P$9)</f>
        <v>192740.11524471868</v>
      </c>
      <c r="K26" s="44">
        <f>J26*(1+ECO!Q$9)</f>
        <v>197654.988183459</v>
      </c>
    </row>
    <row r="27" spans="1:11" ht="15">
      <c r="A27" s="319"/>
      <c r="B27" s="67"/>
      <c r="C27" s="43"/>
      <c r="D27" s="43"/>
      <c r="E27" s="43"/>
      <c r="F27" s="43"/>
      <c r="G27" s="43"/>
      <c r="H27" s="43"/>
      <c r="I27" s="43"/>
      <c r="J27" s="43"/>
      <c r="K27" s="44"/>
    </row>
    <row r="28" spans="1:11" s="77" customFormat="1" ht="15">
      <c r="A28" s="95" t="s">
        <v>192</v>
      </c>
      <c r="B28" s="197">
        <v>0</v>
      </c>
      <c r="C28" s="173">
        <v>0</v>
      </c>
      <c r="D28" s="173">
        <v>0</v>
      </c>
      <c r="E28" s="173">
        <v>0.2</v>
      </c>
      <c r="F28" s="173">
        <v>0.4</v>
      </c>
      <c r="G28" s="173">
        <v>0.6</v>
      </c>
      <c r="H28" s="173">
        <v>0.8</v>
      </c>
      <c r="I28" s="173">
        <v>1</v>
      </c>
      <c r="J28" s="173">
        <v>1</v>
      </c>
      <c r="K28" s="174">
        <v>1</v>
      </c>
    </row>
    <row r="29" spans="1:11" s="77" customFormat="1" ht="15">
      <c r="A29" s="95"/>
      <c r="B29" s="126"/>
      <c r="C29" s="117"/>
      <c r="D29" s="117"/>
      <c r="E29" s="117"/>
      <c r="F29" s="117"/>
      <c r="G29" s="117"/>
      <c r="H29" s="117"/>
      <c r="I29" s="117"/>
      <c r="J29" s="117"/>
      <c r="K29" s="116"/>
    </row>
    <row r="30" spans="1:11" s="77" customFormat="1" ht="15">
      <c r="A30" s="320" t="s">
        <v>290</v>
      </c>
      <c r="B30" s="213">
        <f aca="true" t="shared" si="4" ref="B30:K30">B12*B21*B16*B28/1000</f>
        <v>0</v>
      </c>
      <c r="C30" s="214">
        <f t="shared" si="4"/>
        <v>0</v>
      </c>
      <c r="D30" s="215">
        <f t="shared" si="4"/>
        <v>0</v>
      </c>
      <c r="E30" s="215">
        <f t="shared" si="4"/>
        <v>7.573095110777673</v>
      </c>
      <c r="F30" s="215">
        <f t="shared" si="4"/>
        <v>16.04446320528692</v>
      </c>
      <c r="G30" s="215">
        <f t="shared" si="4"/>
        <v>25.47421579997196</v>
      </c>
      <c r="H30" s="215">
        <f t="shared" si="4"/>
        <v>35.92267933313414</v>
      </c>
      <c r="I30" s="215">
        <f t="shared" si="4"/>
        <v>47.45045693470628</v>
      </c>
      <c r="J30" s="215">
        <f t="shared" si="4"/>
        <v>50.09749540112715</v>
      </c>
      <c r="K30" s="216">
        <f t="shared" si="4"/>
        <v>52.84394225992489</v>
      </c>
    </row>
    <row r="31" spans="1:11" s="77" customFormat="1" ht="15">
      <c r="A31" s="320" t="s">
        <v>291</v>
      </c>
      <c r="B31" s="213">
        <f aca="true" t="shared" si="5" ref="B31:K31">B12*B22*B17*B28/1000</f>
        <v>0</v>
      </c>
      <c r="C31" s="214">
        <f t="shared" si="5"/>
        <v>0</v>
      </c>
      <c r="D31" s="215">
        <f t="shared" si="5"/>
        <v>0</v>
      </c>
      <c r="E31" s="215">
        <f t="shared" si="5"/>
        <v>98.45023644010975</v>
      </c>
      <c r="F31" s="215">
        <f t="shared" si="5"/>
        <v>208.57802166872997</v>
      </c>
      <c r="G31" s="215">
        <f t="shared" si="5"/>
        <v>331.16480539963544</v>
      </c>
      <c r="H31" s="215">
        <f t="shared" si="5"/>
        <v>466.99483133074386</v>
      </c>
      <c r="I31" s="215">
        <f t="shared" si="5"/>
        <v>616.8559401511816</v>
      </c>
      <c r="J31" s="215">
        <f t="shared" si="5"/>
        <v>651.2674402146529</v>
      </c>
      <c r="K31" s="216">
        <f t="shared" si="5"/>
        <v>686.9712493790234</v>
      </c>
    </row>
    <row r="32" spans="1:11" s="77" customFormat="1" ht="15">
      <c r="A32" s="207" t="s">
        <v>170</v>
      </c>
      <c r="B32" s="126">
        <f>B30+B31</f>
        <v>0</v>
      </c>
      <c r="C32" s="118">
        <f aca="true" t="shared" si="6" ref="C32:K32">C30+C31</f>
        <v>0</v>
      </c>
      <c r="D32" s="117">
        <f t="shared" si="6"/>
        <v>0</v>
      </c>
      <c r="E32" s="117">
        <f t="shared" si="6"/>
        <v>106.02333155088742</v>
      </c>
      <c r="F32" s="117">
        <f t="shared" si="6"/>
        <v>224.6224848740169</v>
      </c>
      <c r="G32" s="117">
        <f t="shared" si="6"/>
        <v>356.6390211996074</v>
      </c>
      <c r="H32" s="117">
        <f t="shared" si="6"/>
        <v>502.91751066387803</v>
      </c>
      <c r="I32" s="117">
        <f t="shared" si="6"/>
        <v>664.3063970858879</v>
      </c>
      <c r="J32" s="117">
        <f t="shared" si="6"/>
        <v>701.36493561578</v>
      </c>
      <c r="K32" s="116">
        <f t="shared" si="6"/>
        <v>739.8151916389484</v>
      </c>
    </row>
    <row r="33" spans="1:11" s="77" customFormat="1" ht="15">
      <c r="A33" s="320" t="s">
        <v>171</v>
      </c>
      <c r="B33" s="213">
        <f aca="true" t="shared" si="7" ref="B33:K33">B13*B23*2*B28/1000</f>
        <v>0</v>
      </c>
      <c r="C33" s="214">
        <f t="shared" si="7"/>
        <v>0</v>
      </c>
      <c r="D33" s="215">
        <f t="shared" si="7"/>
        <v>0</v>
      </c>
      <c r="E33" s="215">
        <f t="shared" si="7"/>
        <v>44.43289656098882</v>
      </c>
      <c r="F33" s="215">
        <f t="shared" si="7"/>
        <v>103.61751478022595</v>
      </c>
      <c r="G33" s="215">
        <f t="shared" si="7"/>
        <v>181.22703335061522</v>
      </c>
      <c r="H33" s="215">
        <f t="shared" si="7"/>
        <v>281.74762784908984</v>
      </c>
      <c r="I33" s="215">
        <f t="shared" si="7"/>
        <v>410.64716759004847</v>
      </c>
      <c r="J33" s="215">
        <f t="shared" si="7"/>
        <v>478.81459740999657</v>
      </c>
      <c r="K33" s="216">
        <f t="shared" si="7"/>
        <v>558.297820580056</v>
      </c>
    </row>
    <row r="34" spans="1:11" s="77" customFormat="1" ht="15">
      <c r="A34" s="320" t="s">
        <v>172</v>
      </c>
      <c r="B34" s="213">
        <f aca="true" t="shared" si="8" ref="B34:K34">B13*B24*2*B28/1000</f>
        <v>0</v>
      </c>
      <c r="C34" s="214">
        <f t="shared" si="8"/>
        <v>0</v>
      </c>
      <c r="D34" s="215">
        <f t="shared" si="8"/>
        <v>0</v>
      </c>
      <c r="E34" s="215">
        <f t="shared" si="8"/>
        <v>222.0865303548371</v>
      </c>
      <c r="F34" s="215">
        <f t="shared" si="8"/>
        <v>517.9057887874802</v>
      </c>
      <c r="G34" s="215">
        <f t="shared" si="8"/>
        <v>905.8172245893032</v>
      </c>
      <c r="H34" s="215">
        <f t="shared" si="8"/>
        <v>1408.2438451615037</v>
      </c>
      <c r="I34" s="215">
        <f t="shared" si="8"/>
        <v>2052.5154043228918</v>
      </c>
      <c r="J34" s="215">
        <f t="shared" si="8"/>
        <v>2393.232961440492</v>
      </c>
      <c r="K34" s="216">
        <f t="shared" si="8"/>
        <v>2790.509633039614</v>
      </c>
    </row>
    <row r="35" spans="1:11" s="77" customFormat="1" ht="15">
      <c r="A35" s="207" t="s">
        <v>173</v>
      </c>
      <c r="B35" s="126">
        <f>B33+B34</f>
        <v>0</v>
      </c>
      <c r="C35" s="118">
        <f aca="true" t="shared" si="9" ref="C35:K35">C33+C34</f>
        <v>0</v>
      </c>
      <c r="D35" s="117">
        <f t="shared" si="9"/>
        <v>0</v>
      </c>
      <c r="E35" s="117">
        <f t="shared" si="9"/>
        <v>266.51942691582593</v>
      </c>
      <c r="F35" s="117">
        <f t="shared" si="9"/>
        <v>621.5233035677062</v>
      </c>
      <c r="G35" s="117">
        <f t="shared" si="9"/>
        <v>1087.0442579399185</v>
      </c>
      <c r="H35" s="117">
        <f t="shared" si="9"/>
        <v>1689.9914730105936</v>
      </c>
      <c r="I35" s="117">
        <f t="shared" si="9"/>
        <v>2463.16257191294</v>
      </c>
      <c r="J35" s="117">
        <f t="shared" si="9"/>
        <v>2872.0475588504887</v>
      </c>
      <c r="K35" s="116">
        <f t="shared" si="9"/>
        <v>3348.80745361967</v>
      </c>
    </row>
    <row r="36" spans="1:11" s="77" customFormat="1" ht="15">
      <c r="A36" s="320" t="s">
        <v>174</v>
      </c>
      <c r="B36" s="213">
        <f aca="true" t="shared" si="10" ref="B36:K36">B14*B25*B18*B28/1000</f>
        <v>0</v>
      </c>
      <c r="C36" s="214">
        <f t="shared" si="10"/>
        <v>0</v>
      </c>
      <c r="D36" s="215">
        <f t="shared" si="10"/>
        <v>0</v>
      </c>
      <c r="E36" s="215">
        <f t="shared" si="10"/>
        <v>51.87722410311442</v>
      </c>
      <c r="F36" s="215">
        <f t="shared" si="10"/>
        <v>123.32793236923031</v>
      </c>
      <c r="G36" s="215">
        <f t="shared" si="10"/>
        <v>219.93390832029004</v>
      </c>
      <c r="H36" s="215">
        <f t="shared" si="10"/>
        <v>348.7025724349199</v>
      </c>
      <c r="I36" s="215">
        <f t="shared" si="10"/>
        <v>518.410883900409</v>
      </c>
      <c r="J36" s="215">
        <f t="shared" si="10"/>
        <v>616.1499983074563</v>
      </c>
      <c r="K36" s="216">
        <f t="shared" si="10"/>
        <v>732.9597149865839</v>
      </c>
    </row>
    <row r="37" spans="1:11" s="77" customFormat="1" ht="15">
      <c r="A37" s="320" t="s">
        <v>175</v>
      </c>
      <c r="B37" s="213">
        <f aca="true" t="shared" si="11" ref="B37:K37">B14*B26*B19*B28/1000</f>
        <v>0</v>
      </c>
      <c r="C37" s="214">
        <f t="shared" si="11"/>
        <v>0</v>
      </c>
      <c r="D37" s="215">
        <f t="shared" si="11"/>
        <v>0</v>
      </c>
      <c r="E37" s="215">
        <f t="shared" si="11"/>
        <v>61.568573660839085</v>
      </c>
      <c r="F37" s="215">
        <f t="shared" si="11"/>
        <v>146.3672164382074</v>
      </c>
      <c r="G37" s="215">
        <f t="shared" si="11"/>
        <v>261.02046262188264</v>
      </c>
      <c r="H37" s="215">
        <f t="shared" si="11"/>
        <v>413.8448112414434</v>
      </c>
      <c r="I37" s="215">
        <f t="shared" si="11"/>
        <v>615.2568732004853</v>
      </c>
      <c r="J37" s="215">
        <f t="shared" si="11"/>
        <v>731.2549430462117</v>
      </c>
      <c r="K37" s="216">
        <f t="shared" si="11"/>
        <v>869.8862551489125</v>
      </c>
    </row>
    <row r="38" spans="1:11" s="77" customFormat="1" ht="15">
      <c r="A38" s="207" t="s">
        <v>176</v>
      </c>
      <c r="B38" s="126">
        <f>B36+B37</f>
        <v>0</v>
      </c>
      <c r="C38" s="118">
        <f aca="true" t="shared" si="12" ref="C38:K38">C36+C37</f>
        <v>0</v>
      </c>
      <c r="D38" s="117">
        <f t="shared" si="12"/>
        <v>0</v>
      </c>
      <c r="E38" s="117">
        <f t="shared" si="12"/>
        <v>113.44579776395351</v>
      </c>
      <c r="F38" s="117">
        <f t="shared" si="12"/>
        <v>269.6951488074377</v>
      </c>
      <c r="G38" s="117">
        <f t="shared" si="12"/>
        <v>480.95437094217266</v>
      </c>
      <c r="H38" s="117">
        <f t="shared" si="12"/>
        <v>762.5473836763633</v>
      </c>
      <c r="I38" s="117">
        <f t="shared" si="12"/>
        <v>1133.6677571008943</v>
      </c>
      <c r="J38" s="117">
        <f t="shared" si="12"/>
        <v>1347.404941353668</v>
      </c>
      <c r="K38" s="116">
        <f t="shared" si="12"/>
        <v>1602.8459701354964</v>
      </c>
    </row>
    <row r="39" spans="1:11" s="77" customFormat="1" ht="15">
      <c r="A39" s="207" t="s">
        <v>196</v>
      </c>
      <c r="B39" s="126">
        <f>SUM(B32,B35,B38)</f>
        <v>0</v>
      </c>
      <c r="C39" s="118">
        <f aca="true" t="shared" si="13" ref="C39:K39">SUM(C32,C35,C38)</f>
        <v>0</v>
      </c>
      <c r="D39" s="117">
        <f t="shared" si="13"/>
        <v>0</v>
      </c>
      <c r="E39" s="117">
        <f t="shared" si="13"/>
        <v>485.98855623066686</v>
      </c>
      <c r="F39" s="117">
        <f t="shared" si="13"/>
        <v>1115.8409372491608</v>
      </c>
      <c r="G39" s="117">
        <f t="shared" si="13"/>
        <v>1924.6376500816987</v>
      </c>
      <c r="H39" s="117">
        <f t="shared" si="13"/>
        <v>2955.4563673508346</v>
      </c>
      <c r="I39" s="117">
        <f t="shared" si="13"/>
        <v>4261.136726099722</v>
      </c>
      <c r="J39" s="117">
        <f t="shared" si="13"/>
        <v>4920.817435819937</v>
      </c>
      <c r="K39" s="116">
        <f t="shared" si="13"/>
        <v>5691.468615394115</v>
      </c>
    </row>
    <row r="40" spans="1:11" s="77" customFormat="1" ht="15">
      <c r="A40" s="95"/>
      <c r="B40" s="126"/>
      <c r="C40" s="117"/>
      <c r="D40" s="117"/>
      <c r="E40" s="117"/>
      <c r="F40" s="117"/>
      <c r="G40" s="117"/>
      <c r="H40" s="117"/>
      <c r="I40" s="117"/>
      <c r="J40" s="117"/>
      <c r="K40" s="116"/>
    </row>
    <row r="41" spans="1:11" s="77" customFormat="1" ht="15">
      <c r="A41" s="95" t="s">
        <v>197</v>
      </c>
      <c r="B41" s="126">
        <f>10%*B39</f>
        <v>0</v>
      </c>
      <c r="C41" s="118">
        <f aca="true" t="shared" si="14" ref="C41:K41">10%*C39</f>
        <v>0</v>
      </c>
      <c r="D41" s="117">
        <f t="shared" si="14"/>
        <v>0</v>
      </c>
      <c r="E41" s="117">
        <f t="shared" si="14"/>
        <v>48.59885562306669</v>
      </c>
      <c r="F41" s="117">
        <f t="shared" si="14"/>
        <v>111.58409372491609</v>
      </c>
      <c r="G41" s="117">
        <f t="shared" si="14"/>
        <v>192.46376500816987</v>
      </c>
      <c r="H41" s="117">
        <f t="shared" si="14"/>
        <v>295.54563673508346</v>
      </c>
      <c r="I41" s="117">
        <f t="shared" si="14"/>
        <v>426.11367260997224</v>
      </c>
      <c r="J41" s="117">
        <f t="shared" si="14"/>
        <v>492.0817435819937</v>
      </c>
      <c r="K41" s="116">
        <f t="shared" si="14"/>
        <v>569.1468615394115</v>
      </c>
    </row>
    <row r="42" spans="1:11" ht="15">
      <c r="A42" s="65"/>
      <c r="B42" s="67"/>
      <c r="C42" s="43"/>
      <c r="D42" s="43"/>
      <c r="E42" s="43"/>
      <c r="F42" s="43"/>
      <c r="G42" s="43"/>
      <c r="H42" s="43"/>
      <c r="I42" s="43"/>
      <c r="J42" s="43"/>
      <c r="K42" s="44"/>
    </row>
    <row r="43" spans="1:11" ht="15">
      <c r="A43" s="502" t="s">
        <v>189</v>
      </c>
      <c r="B43" s="498">
        <f>B39+B41</f>
        <v>0</v>
      </c>
      <c r="C43" s="499">
        <f aca="true" t="shared" si="15" ref="C43:K43">C39+C41</f>
        <v>0</v>
      </c>
      <c r="D43" s="500">
        <f t="shared" si="15"/>
        <v>0</v>
      </c>
      <c r="E43" s="500">
        <f t="shared" si="15"/>
        <v>534.5874118537336</v>
      </c>
      <c r="F43" s="500">
        <f t="shared" si="15"/>
        <v>1227.425030974077</v>
      </c>
      <c r="G43" s="500">
        <f t="shared" si="15"/>
        <v>2117.1014150898686</v>
      </c>
      <c r="H43" s="500">
        <f t="shared" si="15"/>
        <v>3251.002004085918</v>
      </c>
      <c r="I43" s="500">
        <f t="shared" si="15"/>
        <v>4687.250398709694</v>
      </c>
      <c r="J43" s="500">
        <f t="shared" si="15"/>
        <v>5412.89917940193</v>
      </c>
      <c r="K43" s="501">
        <f t="shared" si="15"/>
        <v>6260.615476933526</v>
      </c>
    </row>
    <row r="44" spans="1:11" ht="15">
      <c r="A44" s="502" t="s">
        <v>120</v>
      </c>
      <c r="B44" s="512">
        <f>B43/(ECO!H$28*1000)</f>
        <v>0</v>
      </c>
      <c r="C44" s="512">
        <f>C43/(ECO!I$28*1000)</f>
        <v>0</v>
      </c>
      <c r="D44" s="504">
        <f>D43/(ECO!J$28*1000)</f>
        <v>0</v>
      </c>
      <c r="E44" s="504">
        <f>E43/(ECO!K$28*1000)</f>
        <v>4.0831545047797066E-05</v>
      </c>
      <c r="F44" s="504">
        <f>F43/(ECO!L$28*1000)</f>
        <v>8.64836341109522E-05</v>
      </c>
      <c r="G44" s="504">
        <f>G43/(ECO!M$28*1000)</f>
        <v>0.00013751939210440505</v>
      </c>
      <c r="H44" s="504">
        <f>H43/(ECO!N$28*1000)</f>
        <v>0.00019459876549192683</v>
      </c>
      <c r="I44" s="504">
        <f>I43/(ECO!O$28*1000)</f>
        <v>0.0002584620372089187</v>
      </c>
      <c r="J44" s="504">
        <f>J43/(ECO!P$28*1000)</f>
        <v>0.00027496702820290386</v>
      </c>
      <c r="K44" s="505">
        <f>K43/(ECO!Q$28*1000)</f>
        <v>0.000292837025411336</v>
      </c>
    </row>
    <row r="45" spans="1:11" ht="15">
      <c r="A45" s="506" t="s">
        <v>123</v>
      </c>
      <c r="B45" s="513">
        <f>B43/('GGO (SQ)'!H$11*1000)</f>
        <v>0</v>
      </c>
      <c r="C45" s="513">
        <f>C43/('GGO (SQ)'!I$11*1000)</f>
        <v>0</v>
      </c>
      <c r="D45" s="508">
        <f>D43/('GGO (SQ)'!J$11*1000)</f>
        <v>0</v>
      </c>
      <c r="E45" s="508">
        <f>E43/('GGO (SQ)'!K$11*1000)</f>
        <v>0.00020691794610474705</v>
      </c>
      <c r="F45" s="508">
        <f>F43/('GGO (SQ)'!L$11*1000)</f>
        <v>0.0004412414005602497</v>
      </c>
      <c r="G45" s="508">
        <f>G43/('GGO (SQ)'!M$11*1000)</f>
        <v>0.000706697857940129</v>
      </c>
      <c r="H45" s="508">
        <f>H43/('GGO (SQ)'!N$11*1000)</f>
        <v>0.001007459098637938</v>
      </c>
      <c r="I45" s="508">
        <f>I43/('GGO (SQ)'!O$11*1000)</f>
        <v>0.0013481910407782832</v>
      </c>
      <c r="J45" s="508">
        <f>J43/('GGO (SQ)'!P$11*1000)</f>
        <v>0.0014447396616053831</v>
      </c>
      <c r="K45" s="509">
        <f>K43/('GGO (SQ)'!Q$11*1000)</f>
        <v>0.0015502585970681019</v>
      </c>
    </row>
    <row r="46" spans="1:11" ht="15">
      <c r="A46" s="8"/>
      <c r="B46" s="70"/>
      <c r="C46" s="40"/>
      <c r="D46" s="4"/>
      <c r="E46" s="4"/>
      <c r="F46" s="4"/>
      <c r="G46" s="4"/>
      <c r="H46" s="4"/>
      <c r="I46" s="4"/>
      <c r="J46" s="4"/>
      <c r="K46" s="9"/>
    </row>
    <row r="47" spans="1:11" s="47" customFormat="1" ht="15">
      <c r="A47" s="607" t="s">
        <v>355</v>
      </c>
      <c r="B47" s="608"/>
      <c r="C47" s="608"/>
      <c r="D47" s="608"/>
      <c r="E47" s="608"/>
      <c r="F47" s="608"/>
      <c r="G47" s="608"/>
      <c r="H47" s="608"/>
      <c r="I47" s="608"/>
      <c r="J47" s="608"/>
      <c r="K47" s="609"/>
    </row>
    <row r="48" spans="1:11" ht="15">
      <c r="A48" s="65" t="s">
        <v>131</v>
      </c>
      <c r="B48" s="42">
        <f>POP!H224</f>
        <v>763.2202653074953</v>
      </c>
      <c r="C48" s="42">
        <f>POP!I224</f>
        <v>755.8588229583834</v>
      </c>
      <c r="D48" s="43">
        <f>POP!J224</f>
        <v>749.1310179998336</v>
      </c>
      <c r="E48" s="43">
        <f>POP!K224</f>
        <v>742.9859449844909</v>
      </c>
      <c r="F48" s="43">
        <f>POP!L224</f>
        <v>737.3688767891987</v>
      </c>
      <c r="G48" s="43">
        <f>POP!M224</f>
        <v>732.1987858935399</v>
      </c>
      <c r="H48" s="43">
        <f>POP!N224</f>
        <v>721.6833249547869</v>
      </c>
      <c r="I48" s="43">
        <f>POP!O224</f>
        <v>711.4587208891621</v>
      </c>
      <c r="J48" s="43">
        <f>POP!P224</f>
        <v>701.4138504665746</v>
      </c>
      <c r="K48" s="44">
        <f>POP!Q224</f>
        <v>691.4476772798305</v>
      </c>
    </row>
    <row r="49" spans="1:11" ht="15">
      <c r="A49" s="65" t="s">
        <v>237</v>
      </c>
      <c r="B49" s="67">
        <f aca="true" t="shared" si="16" ref="B49:K49">B52*B48</f>
        <v>2.289660795922486</v>
      </c>
      <c r="C49" s="42">
        <f t="shared" si="16"/>
        <v>2.2675764688751503</v>
      </c>
      <c r="D49" s="43">
        <f t="shared" si="16"/>
        <v>2.247393053999501</v>
      </c>
      <c r="E49" s="43">
        <f t="shared" si="16"/>
        <v>2.2289578349534724</v>
      </c>
      <c r="F49" s="43">
        <f t="shared" si="16"/>
        <v>2.2121066303675962</v>
      </c>
      <c r="G49" s="43">
        <f t="shared" si="16"/>
        <v>2.19659635768062</v>
      </c>
      <c r="H49" s="43">
        <f t="shared" si="16"/>
        <v>2.165049974864361</v>
      </c>
      <c r="I49" s="43">
        <f t="shared" si="16"/>
        <v>2.134376162667486</v>
      </c>
      <c r="J49" s="43">
        <f t="shared" si="16"/>
        <v>2.1042415513997237</v>
      </c>
      <c r="K49" s="44">
        <f t="shared" si="16"/>
        <v>2.0743430318394913</v>
      </c>
    </row>
    <row r="50" spans="1:11" ht="15">
      <c r="A50" s="65" t="s">
        <v>142</v>
      </c>
      <c r="B50" s="67">
        <f aca="true" t="shared" si="17" ref="B50:K50">B54*B48</f>
        <v>13.585320722473416</v>
      </c>
      <c r="C50" s="42">
        <f t="shared" si="17"/>
        <v>13.454287048659223</v>
      </c>
      <c r="D50" s="43">
        <f t="shared" si="17"/>
        <v>13.334532120397038</v>
      </c>
      <c r="E50" s="43">
        <f t="shared" si="17"/>
        <v>13.225149820723937</v>
      </c>
      <c r="F50" s="43">
        <f t="shared" si="17"/>
        <v>13.125166006847737</v>
      </c>
      <c r="G50" s="43">
        <f t="shared" si="17"/>
        <v>13.03313838890501</v>
      </c>
      <c r="H50" s="43">
        <f t="shared" si="17"/>
        <v>12.845963184195208</v>
      </c>
      <c r="I50" s="43">
        <f t="shared" si="17"/>
        <v>12.663965231827087</v>
      </c>
      <c r="J50" s="43">
        <f t="shared" si="17"/>
        <v>12.485166538305027</v>
      </c>
      <c r="K50" s="44">
        <f t="shared" si="17"/>
        <v>12.307768655580983</v>
      </c>
    </row>
    <row r="51" spans="1:11" ht="15">
      <c r="A51" s="65"/>
      <c r="B51" s="67"/>
      <c r="C51" s="43"/>
      <c r="D51" s="43"/>
      <c r="E51" s="43"/>
      <c r="F51" s="43"/>
      <c r="G51" s="43"/>
      <c r="H51" s="43"/>
      <c r="I51" s="43"/>
      <c r="J51" s="43"/>
      <c r="K51" s="44"/>
    </row>
    <row r="52" spans="1:11" ht="15">
      <c r="A52" s="319" t="s">
        <v>300</v>
      </c>
      <c r="B52" s="106">
        <v>0.003</v>
      </c>
      <c r="C52" s="107">
        <f aca="true" t="shared" si="18" ref="C52:J55">B52</f>
        <v>0.003</v>
      </c>
      <c r="D52" s="107">
        <f t="shared" si="18"/>
        <v>0.003</v>
      </c>
      <c r="E52" s="107">
        <f t="shared" si="18"/>
        <v>0.003</v>
      </c>
      <c r="F52" s="107">
        <f t="shared" si="18"/>
        <v>0.003</v>
      </c>
      <c r="G52" s="107">
        <f t="shared" si="18"/>
        <v>0.003</v>
      </c>
      <c r="H52" s="107">
        <f t="shared" si="18"/>
        <v>0.003</v>
      </c>
      <c r="I52" s="107">
        <f t="shared" si="18"/>
        <v>0.003</v>
      </c>
      <c r="J52" s="107">
        <f t="shared" si="18"/>
        <v>0.003</v>
      </c>
      <c r="K52" s="143">
        <f>J52</f>
        <v>0.003</v>
      </c>
    </row>
    <row r="53" spans="1:11" ht="15">
      <c r="A53" s="319" t="s">
        <v>301</v>
      </c>
      <c r="B53" s="106">
        <f>1-B52</f>
        <v>0.997</v>
      </c>
      <c r="C53" s="107">
        <f t="shared" si="18"/>
        <v>0.997</v>
      </c>
      <c r="D53" s="107">
        <f t="shared" si="18"/>
        <v>0.997</v>
      </c>
      <c r="E53" s="107">
        <f t="shared" si="18"/>
        <v>0.997</v>
      </c>
      <c r="F53" s="107">
        <f t="shared" si="18"/>
        <v>0.997</v>
      </c>
      <c r="G53" s="107">
        <f t="shared" si="18"/>
        <v>0.997</v>
      </c>
      <c r="H53" s="107">
        <f t="shared" si="18"/>
        <v>0.997</v>
      </c>
      <c r="I53" s="107">
        <f t="shared" si="18"/>
        <v>0.997</v>
      </c>
      <c r="J53" s="107">
        <f t="shared" si="18"/>
        <v>0.997</v>
      </c>
      <c r="K53" s="143">
        <f>J53</f>
        <v>0.997</v>
      </c>
    </row>
    <row r="54" spans="1:11" ht="15">
      <c r="A54" s="319" t="s">
        <v>302</v>
      </c>
      <c r="B54" s="106">
        <v>0.0178</v>
      </c>
      <c r="C54" s="107">
        <f t="shared" si="18"/>
        <v>0.0178</v>
      </c>
      <c r="D54" s="107">
        <f t="shared" si="18"/>
        <v>0.0178</v>
      </c>
      <c r="E54" s="107">
        <f t="shared" si="18"/>
        <v>0.0178</v>
      </c>
      <c r="F54" s="107">
        <f t="shared" si="18"/>
        <v>0.0178</v>
      </c>
      <c r="G54" s="107">
        <f t="shared" si="18"/>
        <v>0.0178</v>
      </c>
      <c r="H54" s="107">
        <f t="shared" si="18"/>
        <v>0.0178</v>
      </c>
      <c r="I54" s="107">
        <f t="shared" si="18"/>
        <v>0.0178</v>
      </c>
      <c r="J54" s="107">
        <f t="shared" si="18"/>
        <v>0.0178</v>
      </c>
      <c r="K54" s="143">
        <f>J54</f>
        <v>0.0178</v>
      </c>
    </row>
    <row r="55" spans="1:11" ht="15">
      <c r="A55" s="319" t="s">
        <v>303</v>
      </c>
      <c r="B55" s="106">
        <f>1-B54</f>
        <v>0.9822</v>
      </c>
      <c r="C55" s="107">
        <f t="shared" si="18"/>
        <v>0.9822</v>
      </c>
      <c r="D55" s="107">
        <f t="shared" si="18"/>
        <v>0.9822</v>
      </c>
      <c r="E55" s="107">
        <f t="shared" si="18"/>
        <v>0.9822</v>
      </c>
      <c r="F55" s="107">
        <f t="shared" si="18"/>
        <v>0.9822</v>
      </c>
      <c r="G55" s="107">
        <f t="shared" si="18"/>
        <v>0.9822</v>
      </c>
      <c r="H55" s="107">
        <f t="shared" si="18"/>
        <v>0.9822</v>
      </c>
      <c r="I55" s="107">
        <f t="shared" si="18"/>
        <v>0.9822</v>
      </c>
      <c r="J55" s="107">
        <f t="shared" si="18"/>
        <v>0.9822</v>
      </c>
      <c r="K55" s="143">
        <f>J55</f>
        <v>0.9822</v>
      </c>
    </row>
    <row r="56" spans="1:11" ht="15">
      <c r="A56" s="8"/>
      <c r="B56" s="67"/>
      <c r="C56" s="43"/>
      <c r="D56" s="43"/>
      <c r="E56" s="43"/>
      <c r="F56" s="43"/>
      <c r="G56" s="43"/>
      <c r="H56" s="43"/>
      <c r="I56" s="43"/>
      <c r="J56" s="43"/>
      <c r="K56" s="44"/>
    </row>
    <row r="57" spans="1:11" ht="15">
      <c r="A57" s="319" t="s">
        <v>287</v>
      </c>
      <c r="B57" s="67">
        <f>B21</f>
        <v>573</v>
      </c>
      <c r="C57" s="42">
        <f aca="true" t="shared" si="19" ref="C57:K57">C21</f>
        <v>636.3203078352021</v>
      </c>
      <c r="D57" s="43">
        <f t="shared" si="19"/>
        <v>738.6376633715917</v>
      </c>
      <c r="E57" s="43">
        <f t="shared" si="19"/>
        <v>782.9559231738872</v>
      </c>
      <c r="F57" s="43">
        <f t="shared" si="19"/>
        <v>829.9332785643204</v>
      </c>
      <c r="G57" s="43">
        <f t="shared" si="19"/>
        <v>879.7292752781797</v>
      </c>
      <c r="H57" s="43">
        <f t="shared" si="19"/>
        <v>932.5130317948705</v>
      </c>
      <c r="I57" s="43">
        <f t="shared" si="19"/>
        <v>988.4638137025628</v>
      </c>
      <c r="J57" s="43">
        <f t="shared" si="19"/>
        <v>1047.7716425247165</v>
      </c>
      <c r="K57" s="44">
        <f t="shared" si="19"/>
        <v>1110.6379410761995</v>
      </c>
    </row>
    <row r="58" spans="1:11" ht="15">
      <c r="A58" s="319" t="s">
        <v>292</v>
      </c>
      <c r="B58" s="42">
        <f>B22</f>
        <v>191</v>
      </c>
      <c r="C58" s="42">
        <f aca="true" t="shared" si="20" ref="C58:K58">C22</f>
        <v>212.10676927840072</v>
      </c>
      <c r="D58" s="43">
        <f t="shared" si="20"/>
        <v>246.21255445719723</v>
      </c>
      <c r="E58" s="43">
        <f t="shared" si="20"/>
        <v>260.9853077246291</v>
      </c>
      <c r="F58" s="43">
        <f t="shared" si="20"/>
        <v>276.6444261881068</v>
      </c>
      <c r="G58" s="43">
        <f t="shared" si="20"/>
        <v>293.2430917593932</v>
      </c>
      <c r="H58" s="43">
        <f t="shared" si="20"/>
        <v>310.8376772649568</v>
      </c>
      <c r="I58" s="43">
        <f t="shared" si="20"/>
        <v>329.48793790085426</v>
      </c>
      <c r="J58" s="43">
        <f t="shared" si="20"/>
        <v>349.2572141749055</v>
      </c>
      <c r="K58" s="44">
        <f t="shared" si="20"/>
        <v>370.21264702539986</v>
      </c>
    </row>
    <row r="59" spans="1:12" ht="15">
      <c r="A59" s="319" t="s">
        <v>144</v>
      </c>
      <c r="B59" s="67">
        <v>21832</v>
      </c>
      <c r="C59" s="43">
        <f>B59*(1+ECO!I$9)</f>
        <v>22493.5096</v>
      </c>
      <c r="D59" s="43">
        <f>C59*(1+ECO!J$9)</f>
        <v>23037.85253232</v>
      </c>
      <c r="E59" s="43">
        <f>D59*(1+ECO!K$9)</f>
        <v>23623.01398664093</v>
      </c>
      <c r="F59" s="43">
        <f>E59*(1+ECO!L$9)</f>
        <v>24206.50243211096</v>
      </c>
      <c r="G59" s="43">
        <f>F59*(1+ECO!M$9)</f>
        <v>24809.24434267052</v>
      </c>
      <c r="H59" s="43">
        <f>G59*(1+ECO!N$9)</f>
        <v>25431.95637567155</v>
      </c>
      <c r="I59" s="43">
        <f>H59*(1+ECO!O$9)</f>
        <v>26075.384871976043</v>
      </c>
      <c r="J59" s="43">
        <f>I59*(1+ECO!P$9)</f>
        <v>26716.839339826653</v>
      </c>
      <c r="K59" s="44">
        <f>J59*(1+ECO!Q$9)</f>
        <v>27398.118742992236</v>
      </c>
      <c r="L59" s="1" t="s">
        <v>288</v>
      </c>
    </row>
    <row r="60" spans="1:12" ht="15">
      <c r="A60" s="319" t="s">
        <v>293</v>
      </c>
      <c r="B60" s="67">
        <v>84</v>
      </c>
      <c r="C60" s="42">
        <f>B60*(1+ECO!I$12)</f>
        <v>93.28255821667885</v>
      </c>
      <c r="D60" s="43">
        <f>C60*(1+ECO!J$12)</f>
        <v>108.28196112253701</v>
      </c>
      <c r="E60" s="43">
        <f>D60*(1+ECO!K$12)</f>
        <v>114.77887878988923</v>
      </c>
      <c r="F60" s="43">
        <f>E60*(1+ECO!L$12)</f>
        <v>121.6656115172826</v>
      </c>
      <c r="G60" s="43">
        <f>F60*(1+ECO!M$12)</f>
        <v>128.96554820831957</v>
      </c>
      <c r="H60" s="43">
        <f>G60*(1+ECO!N$12)</f>
        <v>136.70348110081875</v>
      </c>
      <c r="I60" s="43">
        <f>H60*(1+ECO!O$12)</f>
        <v>144.90568996686787</v>
      </c>
      <c r="J60" s="43">
        <f>I60*(1+ECO!P$12)</f>
        <v>153.60003136487995</v>
      </c>
      <c r="K60" s="44">
        <f>J60*(1+ECO!Q$12)</f>
        <v>162.81603324677275</v>
      </c>
      <c r="L60" s="1" t="s">
        <v>289</v>
      </c>
    </row>
    <row r="61" spans="1:12" ht="15">
      <c r="A61" s="319" t="s">
        <v>294</v>
      </c>
      <c r="B61" s="67">
        <v>7</v>
      </c>
      <c r="C61" s="42">
        <f>B61*(1+ECO!I$12)</f>
        <v>7.7735465180565715</v>
      </c>
      <c r="D61" s="43">
        <f>C61*(1+ECO!J$12)</f>
        <v>9.023496760211417</v>
      </c>
      <c r="E61" s="43">
        <f>D61*(1+ECO!K$12)</f>
        <v>9.564906565824103</v>
      </c>
      <c r="F61" s="43">
        <f>E61*(1+ECO!L$12)</f>
        <v>10.13880095977355</v>
      </c>
      <c r="G61" s="43">
        <f>F61*(1+ECO!M$12)</f>
        <v>10.747129017359963</v>
      </c>
      <c r="H61" s="43">
        <f>G61*(1+ECO!N$12)</f>
        <v>11.391956758401562</v>
      </c>
      <c r="I61" s="43">
        <f>H61*(1+ECO!O$12)</f>
        <v>12.075474163905657</v>
      </c>
      <c r="J61" s="43">
        <f>I61*(1+ECO!P$12)</f>
        <v>12.800002613739997</v>
      </c>
      <c r="K61" s="44">
        <f>J61*(1+ECO!Q$12)</f>
        <v>13.568002770564398</v>
      </c>
      <c r="L61" s="1" t="s">
        <v>289</v>
      </c>
    </row>
    <row r="62" spans="1:12" ht="15">
      <c r="A62" s="319" t="s">
        <v>143</v>
      </c>
      <c r="B62" s="67">
        <v>67</v>
      </c>
      <c r="C62" s="43">
        <f>B62*(1+ECO!I$9)</f>
        <v>69.0301</v>
      </c>
      <c r="D62" s="43">
        <f>C62*(1+ECO!J$9)</f>
        <v>70.70062842</v>
      </c>
      <c r="E62" s="43">
        <f>D62*(1+ECO!K$9)</f>
        <v>72.49642438186801</v>
      </c>
      <c r="F62" s="43">
        <f>E62*(1+ECO!L$9)</f>
        <v>74.28708606410015</v>
      </c>
      <c r="G62" s="43">
        <f>F62*(1+ECO!M$9)</f>
        <v>76.13683450709624</v>
      </c>
      <c r="H62" s="43">
        <f>G62*(1+ECO!N$9)</f>
        <v>78.04786905322435</v>
      </c>
      <c r="I62" s="43">
        <f>H62*(1+ECO!O$9)</f>
        <v>80.02248014027093</v>
      </c>
      <c r="J62" s="43">
        <f>I62*(1+ECO!P$9)</f>
        <v>81.9910331517216</v>
      </c>
      <c r="K62" s="44">
        <f>J62*(1+ECO!Q$9)</f>
        <v>84.0818044970905</v>
      </c>
      <c r="L62" s="1" t="s">
        <v>288</v>
      </c>
    </row>
    <row r="63" spans="1:11" ht="15">
      <c r="A63" s="319"/>
      <c r="B63" s="67"/>
      <c r="C63" s="42"/>
      <c r="D63" s="43"/>
      <c r="E63" s="43"/>
      <c r="F63" s="43"/>
      <c r="G63" s="43"/>
      <c r="H63" s="43"/>
      <c r="I63" s="43"/>
      <c r="J63" s="43"/>
      <c r="K63" s="44"/>
    </row>
    <row r="64" spans="1:11" s="77" customFormat="1" ht="15">
      <c r="A64" s="95" t="s">
        <v>192</v>
      </c>
      <c r="B64" s="197">
        <v>0</v>
      </c>
      <c r="C64" s="173">
        <v>0</v>
      </c>
      <c r="D64" s="173">
        <v>0</v>
      </c>
      <c r="E64" s="173">
        <v>0.2</v>
      </c>
      <c r="F64" s="173">
        <v>0.4</v>
      </c>
      <c r="G64" s="173">
        <v>0.6</v>
      </c>
      <c r="H64" s="173">
        <v>0.8</v>
      </c>
      <c r="I64" s="173">
        <v>1</v>
      </c>
      <c r="J64" s="173">
        <v>1</v>
      </c>
      <c r="K64" s="174">
        <v>1</v>
      </c>
    </row>
    <row r="65" spans="1:11" s="77" customFormat="1" ht="15">
      <c r="A65" s="95"/>
      <c r="B65" s="126"/>
      <c r="C65" s="117"/>
      <c r="D65" s="117"/>
      <c r="E65" s="117"/>
      <c r="F65" s="117"/>
      <c r="G65" s="117"/>
      <c r="H65" s="117"/>
      <c r="I65" s="117"/>
      <c r="J65" s="117"/>
      <c r="K65" s="116"/>
    </row>
    <row r="66" spans="1:12" s="77" customFormat="1" ht="15">
      <c r="A66" s="320" t="s">
        <v>290</v>
      </c>
      <c r="B66" s="213">
        <f aca="true" t="shared" si="21" ref="B66:K66">B48*B57*B52*B64/1000</f>
        <v>0</v>
      </c>
      <c r="C66" s="214">
        <f t="shared" si="21"/>
        <v>0</v>
      </c>
      <c r="D66" s="215">
        <f t="shared" si="21"/>
        <v>0</v>
      </c>
      <c r="E66" s="215">
        <f t="shared" si="21"/>
        <v>0.34903514787633305</v>
      </c>
      <c r="F66" s="215">
        <f t="shared" si="21"/>
        <v>0.7343603633099401</v>
      </c>
      <c r="G66" s="215">
        <f t="shared" si="21"/>
        <v>1.1594460730926364</v>
      </c>
      <c r="H66" s="215">
        <f t="shared" si="21"/>
        <v>1.6151498528385388</v>
      </c>
      <c r="I66" s="215">
        <f t="shared" si="21"/>
        <v>2.1097536016261453</v>
      </c>
      <c r="J66" s="215">
        <f t="shared" si="21"/>
        <v>2.204764626578846</v>
      </c>
      <c r="K66" s="216">
        <f t="shared" si="21"/>
        <v>2.303844073967974</v>
      </c>
      <c r="L66" s="77" t="s">
        <v>297</v>
      </c>
    </row>
    <row r="67" spans="1:11" s="77" customFormat="1" ht="15">
      <c r="A67" s="320" t="s">
        <v>291</v>
      </c>
      <c r="B67" s="213">
        <f aca="true" t="shared" si="22" ref="B67:K67">B48*B58*B53*B64/1000</f>
        <v>0</v>
      </c>
      <c r="C67" s="214">
        <f t="shared" si="22"/>
        <v>0</v>
      </c>
      <c r="D67" s="215">
        <f t="shared" si="22"/>
        <v>0</v>
      </c>
      <c r="E67" s="215">
        <f t="shared" si="22"/>
        <v>38.665338048078226</v>
      </c>
      <c r="F67" s="215">
        <f t="shared" si="22"/>
        <v>81.35080913555672</v>
      </c>
      <c r="G67" s="215">
        <f t="shared" si="22"/>
        <v>128.4408594303732</v>
      </c>
      <c r="H67" s="215">
        <f t="shared" si="22"/>
        <v>178.92271147555812</v>
      </c>
      <c r="I67" s="215">
        <f t="shared" si="22"/>
        <v>233.7138156468074</v>
      </c>
      <c r="J67" s="215">
        <f t="shared" si="22"/>
        <v>244.23892585545664</v>
      </c>
      <c r="K67" s="216">
        <f t="shared" si="22"/>
        <v>255.21472686067452</v>
      </c>
    </row>
    <row r="68" spans="1:11" s="77" customFormat="1" ht="15">
      <c r="A68" s="207" t="s">
        <v>170</v>
      </c>
      <c r="B68" s="126">
        <f>B66+B67</f>
        <v>0</v>
      </c>
      <c r="C68" s="118">
        <f aca="true" t="shared" si="23" ref="C68:K68">C66+C67</f>
        <v>0</v>
      </c>
      <c r="D68" s="117">
        <f t="shared" si="23"/>
        <v>0</v>
      </c>
      <c r="E68" s="117">
        <f t="shared" si="23"/>
        <v>39.01437319595456</v>
      </c>
      <c r="F68" s="117">
        <f t="shared" si="23"/>
        <v>82.08516949886666</v>
      </c>
      <c r="G68" s="117">
        <f t="shared" si="23"/>
        <v>129.60030550346582</v>
      </c>
      <c r="H68" s="117">
        <f t="shared" si="23"/>
        <v>180.53786132839664</v>
      </c>
      <c r="I68" s="117">
        <f t="shared" si="23"/>
        <v>235.82356924843356</v>
      </c>
      <c r="J68" s="117">
        <f t="shared" si="23"/>
        <v>246.4436904820355</v>
      </c>
      <c r="K68" s="116">
        <f t="shared" si="23"/>
        <v>257.51857093464247</v>
      </c>
    </row>
    <row r="69" spans="1:11" s="77" customFormat="1" ht="15">
      <c r="A69" s="207" t="s">
        <v>177</v>
      </c>
      <c r="B69" s="126">
        <f aca="true" t="shared" si="24" ref="B69:K69">B49*B59*B64/1000</f>
        <v>0</v>
      </c>
      <c r="C69" s="118">
        <f t="shared" si="24"/>
        <v>0</v>
      </c>
      <c r="D69" s="117">
        <f t="shared" si="24"/>
        <v>0</v>
      </c>
      <c r="E69" s="117">
        <f t="shared" si="24"/>
        <v>10.530940422147752</v>
      </c>
      <c r="F69" s="117">
        <f t="shared" si="24"/>
        <v>21.4189458112328</v>
      </c>
      <c r="G69" s="117">
        <f t="shared" si="24"/>
        <v>32.69753745595115</v>
      </c>
      <c r="H69" s="117">
        <f t="shared" si="24"/>
        <v>44.04916520951938</v>
      </c>
      <c r="I69" s="117">
        <f t="shared" si="24"/>
        <v>55.654679903126045</v>
      </c>
      <c r="J69" s="117">
        <f t="shared" si="24"/>
        <v>56.21868346093401</v>
      </c>
      <c r="K69" s="116">
        <f t="shared" si="24"/>
        <v>56.833096700036904</v>
      </c>
    </row>
    <row r="70" spans="1:11" s="77" customFormat="1" ht="15">
      <c r="A70" s="320" t="s">
        <v>295</v>
      </c>
      <c r="B70" s="213">
        <f aca="true" t="shared" si="25" ref="B70:K70">B48*B60*B54*B64/1000</f>
        <v>0</v>
      </c>
      <c r="C70" s="214">
        <f t="shared" si="25"/>
        <v>0</v>
      </c>
      <c r="D70" s="215">
        <f t="shared" si="25"/>
        <v>0</v>
      </c>
      <c r="E70" s="215">
        <f t="shared" si="25"/>
        <v>0.3035935736501996</v>
      </c>
      <c r="F70" s="215">
        <f t="shared" si="25"/>
        <v>0.6387525393955921</v>
      </c>
      <c r="G70" s="215">
        <f t="shared" si="25"/>
        <v>1.0084955023200177</v>
      </c>
      <c r="H70" s="215">
        <f t="shared" si="25"/>
        <v>1.4048703082979546</v>
      </c>
      <c r="I70" s="215">
        <f t="shared" si="25"/>
        <v>1.8350806196343297</v>
      </c>
      <c r="J70" s="215">
        <f t="shared" si="25"/>
        <v>1.9177219718794019</v>
      </c>
      <c r="K70" s="216">
        <f t="shared" si="25"/>
        <v>2.0039020706206605</v>
      </c>
    </row>
    <row r="71" spans="1:11" s="77" customFormat="1" ht="15">
      <c r="A71" s="320" t="s">
        <v>296</v>
      </c>
      <c r="B71" s="213">
        <f aca="true" t="shared" si="26" ref="B71:K71">B48*B61*B55*B64/1000</f>
        <v>0</v>
      </c>
      <c r="C71" s="214">
        <f t="shared" si="26"/>
        <v>0</v>
      </c>
      <c r="D71" s="215">
        <f t="shared" si="26"/>
        <v>0</v>
      </c>
      <c r="E71" s="215">
        <f t="shared" si="26"/>
        <v>1.3960187642285864</v>
      </c>
      <c r="F71" s="215">
        <f t="shared" si="26"/>
        <v>2.937185131996023</v>
      </c>
      <c r="G71" s="215">
        <f t="shared" si="26"/>
        <v>4.637379599151317</v>
      </c>
      <c r="H71" s="215">
        <f t="shared" si="26"/>
        <v>6.460035659224021</v>
      </c>
      <c r="I71" s="215">
        <f t="shared" si="26"/>
        <v>8.438278017812914</v>
      </c>
      <c r="J71" s="215">
        <f t="shared" si="26"/>
        <v>8.818288954962306</v>
      </c>
      <c r="K71" s="216">
        <f t="shared" si="26"/>
        <v>9.214572161814669</v>
      </c>
    </row>
    <row r="72" spans="1:11" s="77" customFormat="1" ht="15">
      <c r="A72" s="207" t="s">
        <v>178</v>
      </c>
      <c r="B72" s="126">
        <f>B70+B71</f>
        <v>0</v>
      </c>
      <c r="C72" s="118">
        <f aca="true" t="shared" si="27" ref="C72:K72">C70+C71</f>
        <v>0</v>
      </c>
      <c r="D72" s="117">
        <f t="shared" si="27"/>
        <v>0</v>
      </c>
      <c r="E72" s="117">
        <f t="shared" si="27"/>
        <v>1.699612337878786</v>
      </c>
      <c r="F72" s="117">
        <f t="shared" si="27"/>
        <v>3.575937671391615</v>
      </c>
      <c r="G72" s="117">
        <f t="shared" si="27"/>
        <v>5.645875101471335</v>
      </c>
      <c r="H72" s="117">
        <f t="shared" si="27"/>
        <v>7.864905967521976</v>
      </c>
      <c r="I72" s="117">
        <f t="shared" si="27"/>
        <v>10.273358637447243</v>
      </c>
      <c r="J72" s="117">
        <f t="shared" si="27"/>
        <v>10.736010926841708</v>
      </c>
      <c r="K72" s="116">
        <f t="shared" si="27"/>
        <v>11.21847423243533</v>
      </c>
    </row>
    <row r="73" spans="1:11" s="77" customFormat="1" ht="15">
      <c r="A73" s="207" t="s">
        <v>179</v>
      </c>
      <c r="B73" s="126">
        <f aca="true" t="shared" si="28" ref="B73:K73">B50*B62*B64/1000</f>
        <v>0</v>
      </c>
      <c r="C73" s="118">
        <f t="shared" si="28"/>
        <v>0</v>
      </c>
      <c r="D73" s="117">
        <f t="shared" si="28"/>
        <v>0</v>
      </c>
      <c r="E73" s="117">
        <f t="shared" si="28"/>
        <v>0.19175521478339763</v>
      </c>
      <c r="F73" s="117">
        <f t="shared" si="28"/>
        <v>0.3900121347025199</v>
      </c>
      <c r="G73" s="117">
        <f t="shared" si="28"/>
        <v>0.5953811403744862</v>
      </c>
      <c r="H73" s="117">
        <f t="shared" si="28"/>
        <v>0.8020800419700868</v>
      </c>
      <c r="I73" s="117">
        <f t="shared" si="28"/>
        <v>1.0134019062609645</v>
      </c>
      <c r="J73" s="117">
        <f t="shared" si="28"/>
        <v>1.0236717035469325</v>
      </c>
      <c r="K73" s="116">
        <f t="shared" si="28"/>
        <v>1.0348593978939786</v>
      </c>
    </row>
    <row r="74" spans="1:11" s="77" customFormat="1" ht="15">
      <c r="A74" s="207" t="s">
        <v>196</v>
      </c>
      <c r="B74" s="126">
        <f>SUM(B68,B69,B72,B73)</f>
        <v>0</v>
      </c>
      <c r="C74" s="118">
        <f aca="true" t="shared" si="29" ref="C74:K74">SUM(C68,C69,C72,C73)</f>
        <v>0</v>
      </c>
      <c r="D74" s="117">
        <f t="shared" si="29"/>
        <v>0</v>
      </c>
      <c r="E74" s="117">
        <f t="shared" si="29"/>
        <v>51.436681170764494</v>
      </c>
      <c r="F74" s="117">
        <f t="shared" si="29"/>
        <v>107.4700651161936</v>
      </c>
      <c r="G74" s="117">
        <f t="shared" si="29"/>
        <v>168.53909920126281</v>
      </c>
      <c r="H74" s="117">
        <f t="shared" si="29"/>
        <v>233.25401254740808</v>
      </c>
      <c r="I74" s="117">
        <f t="shared" si="29"/>
        <v>302.76500969526785</v>
      </c>
      <c r="J74" s="117">
        <f t="shared" si="29"/>
        <v>314.42205657335813</v>
      </c>
      <c r="K74" s="116">
        <f t="shared" si="29"/>
        <v>326.60500126500864</v>
      </c>
    </row>
    <row r="75" spans="1:11" s="77" customFormat="1" ht="15">
      <c r="A75" s="95"/>
      <c r="B75" s="126"/>
      <c r="C75" s="117"/>
      <c r="D75" s="117"/>
      <c r="E75" s="117"/>
      <c r="F75" s="117"/>
      <c r="G75" s="117"/>
      <c r="H75" s="117"/>
      <c r="I75" s="117"/>
      <c r="J75" s="117"/>
      <c r="K75" s="116"/>
    </row>
    <row r="76" spans="1:11" s="77" customFormat="1" ht="15">
      <c r="A76" s="95" t="s">
        <v>197</v>
      </c>
      <c r="B76" s="126">
        <f>10%*B74</f>
        <v>0</v>
      </c>
      <c r="C76" s="118">
        <f aca="true" t="shared" si="30" ref="C76:K76">10%*C74</f>
        <v>0</v>
      </c>
      <c r="D76" s="117">
        <f t="shared" si="30"/>
        <v>0</v>
      </c>
      <c r="E76" s="117">
        <f t="shared" si="30"/>
        <v>5.14366811707645</v>
      </c>
      <c r="F76" s="117">
        <f t="shared" si="30"/>
        <v>10.747006511619361</v>
      </c>
      <c r="G76" s="117">
        <f t="shared" si="30"/>
        <v>16.85390992012628</v>
      </c>
      <c r="H76" s="117">
        <f t="shared" si="30"/>
        <v>23.32540125474081</v>
      </c>
      <c r="I76" s="117">
        <f t="shared" si="30"/>
        <v>30.276500969526786</v>
      </c>
      <c r="J76" s="117">
        <f t="shared" si="30"/>
        <v>31.442205657335816</v>
      </c>
      <c r="K76" s="116">
        <f t="shared" si="30"/>
        <v>32.660500126500864</v>
      </c>
    </row>
    <row r="77" spans="1:11" ht="15">
      <c r="A77" s="65"/>
      <c r="B77" s="67"/>
      <c r="C77" s="43"/>
      <c r="D77" s="43"/>
      <c r="E77" s="43"/>
      <c r="F77" s="43"/>
      <c r="G77" s="43"/>
      <c r="H77" s="43"/>
      <c r="I77" s="43"/>
      <c r="J77" s="43"/>
      <c r="K77" s="44"/>
    </row>
    <row r="78" spans="1:11" ht="15">
      <c r="A78" s="502" t="s">
        <v>190</v>
      </c>
      <c r="B78" s="498">
        <f>B74+B76</f>
        <v>0</v>
      </c>
      <c r="C78" s="499">
        <f aca="true" t="shared" si="31" ref="C78:K78">C74+C76</f>
        <v>0</v>
      </c>
      <c r="D78" s="500">
        <f t="shared" si="31"/>
        <v>0</v>
      </c>
      <c r="E78" s="500">
        <f t="shared" si="31"/>
        <v>56.580349287840946</v>
      </c>
      <c r="F78" s="500">
        <f t="shared" si="31"/>
        <v>118.21707162781296</v>
      </c>
      <c r="G78" s="500">
        <f t="shared" si="31"/>
        <v>185.3930091213891</v>
      </c>
      <c r="H78" s="500">
        <f t="shared" si="31"/>
        <v>256.5794138021489</v>
      </c>
      <c r="I78" s="500">
        <f t="shared" si="31"/>
        <v>333.04151066479466</v>
      </c>
      <c r="J78" s="500">
        <f t="shared" si="31"/>
        <v>345.86426223069395</v>
      </c>
      <c r="K78" s="501">
        <f t="shared" si="31"/>
        <v>359.2655013915095</v>
      </c>
    </row>
    <row r="79" spans="1:11" ht="15">
      <c r="A79" s="502" t="s">
        <v>120</v>
      </c>
      <c r="B79" s="525">
        <f>B78/(ECO!H$28*1000)</f>
        <v>0</v>
      </c>
      <c r="C79" s="525">
        <f>C78/(ECO!I$28*1000)</f>
        <v>0</v>
      </c>
      <c r="D79" s="526">
        <f>D78/(ECO!J$28*1000)</f>
        <v>0</v>
      </c>
      <c r="E79" s="526">
        <f>E78/(ECO!K$28*1000)</f>
        <v>4.321581521636489E-06</v>
      </c>
      <c r="F79" s="526">
        <f>F78/(ECO!L$28*1000)</f>
        <v>8.329504214375053E-06</v>
      </c>
      <c r="G79" s="526">
        <f>G78/(ECO!M$28*1000)</f>
        <v>1.2042471717727141E-05</v>
      </c>
      <c r="H79" s="526">
        <f>H78/(ECO!N$28*1000)</f>
        <v>1.5358353244257448E-05</v>
      </c>
      <c r="I79" s="526">
        <f>I78/(ECO!O$28*1000)</f>
        <v>1.8364409835082496E-05</v>
      </c>
      <c r="J79" s="526">
        <f>J78/(ECO!P$28*1000)</f>
        <v>1.756937736972065E-05</v>
      </c>
      <c r="K79" s="527">
        <f>K78/(ECO!Q$28*1000)</f>
        <v>1.680445655032183E-05</v>
      </c>
    </row>
    <row r="80" spans="1:11" ht="15">
      <c r="A80" s="506" t="s">
        <v>123</v>
      </c>
      <c r="B80" s="528">
        <f>B78/('GGO (SQ)'!H$11*1000)</f>
        <v>0</v>
      </c>
      <c r="C80" s="528">
        <f>C78/('GGO (SQ)'!I$11*1000)</f>
        <v>0</v>
      </c>
      <c r="D80" s="529">
        <f>D78/('GGO (SQ)'!J$11*1000)</f>
        <v>0</v>
      </c>
      <c r="E80" s="529">
        <f>E78/('GGO (SQ)'!K$11*1000)</f>
        <v>2.190004741026801E-05</v>
      </c>
      <c r="F80" s="529">
        <f>F78/('GGO (SQ)'!L$11*1000)</f>
        <v>4.249731343167403E-05</v>
      </c>
      <c r="G80" s="529">
        <f>G78/('GGO (SQ)'!M$11*1000)</f>
        <v>6.18850100846959E-05</v>
      </c>
      <c r="H80" s="529">
        <f>H78/('GGO (SQ)'!N$11*1000)</f>
        <v>7.951187499524282E-05</v>
      </c>
      <c r="I80" s="529">
        <f>I78/('GGO (SQ)'!O$11*1000)</f>
        <v>9.579253137599452E-05</v>
      </c>
      <c r="J80" s="529">
        <f>J78/('GGO (SQ)'!P$11*1000)</f>
        <v>9.231352748598177E-05</v>
      </c>
      <c r="K80" s="530">
        <f>K78/('GGO (SQ)'!Q$11*1000)</f>
        <v>8.896160995898891E-05</v>
      </c>
    </row>
    <row r="81" spans="1:11" ht="15">
      <c r="A81" s="321"/>
      <c r="B81" s="256"/>
      <c r="C81" s="256"/>
      <c r="D81" s="257"/>
      <c r="E81" s="257"/>
      <c r="F81" s="257"/>
      <c r="G81" s="257"/>
      <c r="H81" s="257"/>
      <c r="I81" s="257"/>
      <c r="J81" s="257"/>
      <c r="K81" s="258"/>
    </row>
    <row r="82" spans="1:11" ht="15">
      <c r="A82" s="607" t="s">
        <v>356</v>
      </c>
      <c r="B82" s="608"/>
      <c r="C82" s="608"/>
      <c r="D82" s="608"/>
      <c r="E82" s="608"/>
      <c r="F82" s="608"/>
      <c r="G82" s="608"/>
      <c r="H82" s="608"/>
      <c r="I82" s="608"/>
      <c r="J82" s="608"/>
      <c r="K82" s="609"/>
    </row>
    <row r="83" spans="1:11" ht="15">
      <c r="A83" s="65" t="s">
        <v>286</v>
      </c>
      <c r="B83" s="67">
        <f>B11</f>
        <v>42861.66350943154</v>
      </c>
      <c r="C83" s="43">
        <f aca="true" t="shared" si="32" ref="C83:K83">C11</f>
        <v>42942.15691021228</v>
      </c>
      <c r="D83" s="43">
        <f t="shared" si="32"/>
        <v>42983.28895586684</v>
      </c>
      <c r="E83" s="43">
        <f t="shared" si="32"/>
        <v>42988.62745159926</v>
      </c>
      <c r="F83" s="43">
        <f t="shared" si="32"/>
        <v>42960.516946727235</v>
      </c>
      <c r="G83" s="43">
        <f t="shared" si="32"/>
        <v>42899.082733137155</v>
      </c>
      <c r="H83" s="43">
        <f t="shared" si="32"/>
        <v>42802.71351393502</v>
      </c>
      <c r="I83" s="43">
        <f t="shared" si="32"/>
        <v>42670.43806487074</v>
      </c>
      <c r="J83" s="43">
        <f t="shared" si="32"/>
        <v>42500.77518410569</v>
      </c>
      <c r="K83" s="44">
        <f t="shared" si="32"/>
        <v>42293.16448024218</v>
      </c>
    </row>
    <row r="84" spans="1:11" ht="15">
      <c r="A84" s="65" t="s">
        <v>134</v>
      </c>
      <c r="B84" s="42">
        <f>B13</f>
        <v>107.15415877357886</v>
      </c>
      <c r="C84" s="42">
        <f aca="true" t="shared" si="33" ref="C84:K84">C13</f>
        <v>117.86957465093676</v>
      </c>
      <c r="D84" s="43">
        <f t="shared" si="33"/>
        <v>129.65653211603043</v>
      </c>
      <c r="E84" s="43">
        <f t="shared" si="33"/>
        <v>142.6221853276335</v>
      </c>
      <c r="F84" s="43">
        <f t="shared" si="33"/>
        <v>156.88440386039687</v>
      </c>
      <c r="G84" s="43">
        <f t="shared" si="33"/>
        <v>172.57284424643657</v>
      </c>
      <c r="H84" s="43">
        <f t="shared" si="33"/>
        <v>189.83012867108025</v>
      </c>
      <c r="I84" s="43">
        <f t="shared" si="33"/>
        <v>208.8131415381883</v>
      </c>
      <c r="J84" s="43">
        <f t="shared" si="33"/>
        <v>229.69445569200712</v>
      </c>
      <c r="K84" s="44">
        <f t="shared" si="33"/>
        <v>252.66390126120785</v>
      </c>
    </row>
    <row r="85" spans="1:11" ht="15">
      <c r="A85" s="65" t="s">
        <v>135</v>
      </c>
      <c r="B85" s="42">
        <f>B14</f>
        <v>12.858499052829462</v>
      </c>
      <c r="C85" s="42">
        <f aca="true" t="shared" si="34" ref="C85:K85">C14</f>
        <v>14.915858901282174</v>
      </c>
      <c r="D85" s="43">
        <f t="shared" si="34"/>
        <v>17.302396325487322</v>
      </c>
      <c r="E85" s="43">
        <f t="shared" si="34"/>
        <v>20.070779737565292</v>
      </c>
      <c r="F85" s="43">
        <f t="shared" si="34"/>
        <v>23.282104495575737</v>
      </c>
      <c r="G85" s="43">
        <f t="shared" si="34"/>
        <v>27.007241214867854</v>
      </c>
      <c r="H85" s="43">
        <f t="shared" si="34"/>
        <v>31.328399809246708</v>
      </c>
      <c r="I85" s="43">
        <f t="shared" si="34"/>
        <v>36.34094377872618</v>
      </c>
      <c r="J85" s="43">
        <f t="shared" si="34"/>
        <v>42.15549478332236</v>
      </c>
      <c r="K85" s="44">
        <f t="shared" si="34"/>
        <v>48.900373948653936</v>
      </c>
    </row>
    <row r="86" spans="1:11" ht="15">
      <c r="A86" s="65"/>
      <c r="B86" s="67"/>
      <c r="C86" s="43"/>
      <c r="D86" s="43"/>
      <c r="E86" s="43"/>
      <c r="F86" s="43"/>
      <c r="G86" s="43"/>
      <c r="H86" s="43"/>
      <c r="I86" s="43"/>
      <c r="J86" s="43"/>
      <c r="K86" s="44"/>
    </row>
    <row r="87" spans="1:11" ht="15">
      <c r="A87" s="319" t="s">
        <v>300</v>
      </c>
      <c r="B87" s="106">
        <v>0.003</v>
      </c>
      <c r="C87" s="107">
        <f aca="true" t="shared" si="35" ref="C87:J90">B87</f>
        <v>0.003</v>
      </c>
      <c r="D87" s="107">
        <f t="shared" si="35"/>
        <v>0.003</v>
      </c>
      <c r="E87" s="107">
        <f t="shared" si="35"/>
        <v>0.003</v>
      </c>
      <c r="F87" s="107">
        <f t="shared" si="35"/>
        <v>0.003</v>
      </c>
      <c r="G87" s="107">
        <f t="shared" si="35"/>
        <v>0.003</v>
      </c>
      <c r="H87" s="107">
        <f t="shared" si="35"/>
        <v>0.003</v>
      </c>
      <c r="I87" s="107">
        <f t="shared" si="35"/>
        <v>0.003</v>
      </c>
      <c r="J87" s="107">
        <f t="shared" si="35"/>
        <v>0.003</v>
      </c>
      <c r="K87" s="143">
        <f>J87</f>
        <v>0.003</v>
      </c>
    </row>
    <row r="88" spans="1:11" ht="15">
      <c r="A88" s="319" t="s">
        <v>301</v>
      </c>
      <c r="B88" s="106">
        <f>1-B87</f>
        <v>0.997</v>
      </c>
      <c r="C88" s="107">
        <f t="shared" si="35"/>
        <v>0.997</v>
      </c>
      <c r="D88" s="107">
        <f t="shared" si="35"/>
        <v>0.997</v>
      </c>
      <c r="E88" s="107">
        <f t="shared" si="35"/>
        <v>0.997</v>
      </c>
      <c r="F88" s="107">
        <f t="shared" si="35"/>
        <v>0.997</v>
      </c>
      <c r="G88" s="107">
        <f t="shared" si="35"/>
        <v>0.997</v>
      </c>
      <c r="H88" s="107">
        <f t="shared" si="35"/>
        <v>0.997</v>
      </c>
      <c r="I88" s="107">
        <f t="shared" si="35"/>
        <v>0.997</v>
      </c>
      <c r="J88" s="107">
        <f t="shared" si="35"/>
        <v>0.997</v>
      </c>
      <c r="K88" s="143">
        <f>J88</f>
        <v>0.997</v>
      </c>
    </row>
    <row r="89" spans="1:11" ht="15">
      <c r="A89" s="319" t="s">
        <v>136</v>
      </c>
      <c r="B89" s="106">
        <v>0.91</v>
      </c>
      <c r="C89" s="107">
        <f t="shared" si="35"/>
        <v>0.91</v>
      </c>
      <c r="D89" s="107">
        <f t="shared" si="35"/>
        <v>0.91</v>
      </c>
      <c r="E89" s="107">
        <f t="shared" si="35"/>
        <v>0.91</v>
      </c>
      <c r="F89" s="107">
        <f t="shared" si="35"/>
        <v>0.91</v>
      </c>
      <c r="G89" s="107">
        <f t="shared" si="35"/>
        <v>0.91</v>
      </c>
      <c r="H89" s="107">
        <f t="shared" si="35"/>
        <v>0.91</v>
      </c>
      <c r="I89" s="107">
        <f t="shared" si="35"/>
        <v>0.91</v>
      </c>
      <c r="J89" s="107">
        <f t="shared" si="35"/>
        <v>0.91</v>
      </c>
      <c r="K89" s="143">
        <f>J89</f>
        <v>0.91</v>
      </c>
    </row>
    <row r="90" spans="1:11" ht="15">
      <c r="A90" s="319" t="s">
        <v>137</v>
      </c>
      <c r="B90" s="106">
        <f>1-B89</f>
        <v>0.08999999999999997</v>
      </c>
      <c r="C90" s="107">
        <f t="shared" si="35"/>
        <v>0.08999999999999997</v>
      </c>
      <c r="D90" s="107">
        <f t="shared" si="35"/>
        <v>0.08999999999999997</v>
      </c>
      <c r="E90" s="107">
        <f t="shared" si="35"/>
        <v>0.08999999999999997</v>
      </c>
      <c r="F90" s="107">
        <f t="shared" si="35"/>
        <v>0.08999999999999997</v>
      </c>
      <c r="G90" s="107">
        <f t="shared" si="35"/>
        <v>0.08999999999999997</v>
      </c>
      <c r="H90" s="107">
        <f t="shared" si="35"/>
        <v>0.08999999999999997</v>
      </c>
      <c r="I90" s="107">
        <f t="shared" si="35"/>
        <v>0.08999999999999997</v>
      </c>
      <c r="J90" s="107">
        <f t="shared" si="35"/>
        <v>0.08999999999999997</v>
      </c>
      <c r="K90" s="143">
        <f>J90</f>
        <v>0.08999999999999997</v>
      </c>
    </row>
    <row r="91" spans="1:11" ht="15">
      <c r="A91" s="8"/>
      <c r="B91" s="67"/>
      <c r="C91" s="43"/>
      <c r="D91" s="43"/>
      <c r="E91" s="43"/>
      <c r="F91" s="43"/>
      <c r="G91" s="43"/>
      <c r="H91" s="43"/>
      <c r="I91" s="43"/>
      <c r="J91" s="43"/>
      <c r="K91" s="44"/>
    </row>
    <row r="92" spans="1:11" ht="15">
      <c r="A92" s="319" t="s">
        <v>287</v>
      </c>
      <c r="B92" s="42">
        <f aca="true" t="shared" si="36" ref="B92:B97">B21</f>
        <v>573</v>
      </c>
      <c r="C92" s="42">
        <f aca="true" t="shared" si="37" ref="C92:K92">C21</f>
        <v>636.3203078352021</v>
      </c>
      <c r="D92" s="43">
        <f t="shared" si="37"/>
        <v>738.6376633715917</v>
      </c>
      <c r="E92" s="43">
        <f t="shared" si="37"/>
        <v>782.9559231738872</v>
      </c>
      <c r="F92" s="43">
        <f t="shared" si="37"/>
        <v>829.9332785643204</v>
      </c>
      <c r="G92" s="43">
        <f t="shared" si="37"/>
        <v>879.7292752781797</v>
      </c>
      <c r="H92" s="43">
        <f t="shared" si="37"/>
        <v>932.5130317948705</v>
      </c>
      <c r="I92" s="43">
        <f t="shared" si="37"/>
        <v>988.4638137025628</v>
      </c>
      <c r="J92" s="43">
        <f t="shared" si="37"/>
        <v>1047.7716425247165</v>
      </c>
      <c r="K92" s="44">
        <f t="shared" si="37"/>
        <v>1110.6379410761995</v>
      </c>
    </row>
    <row r="93" spans="1:11" ht="15">
      <c r="A93" s="319" t="s">
        <v>292</v>
      </c>
      <c r="B93" s="42">
        <f t="shared" si="36"/>
        <v>191</v>
      </c>
      <c r="C93" s="42">
        <f aca="true" t="shared" si="38" ref="C93:K93">C22</f>
        <v>212.10676927840072</v>
      </c>
      <c r="D93" s="43">
        <f t="shared" si="38"/>
        <v>246.21255445719723</v>
      </c>
      <c r="E93" s="43">
        <f t="shared" si="38"/>
        <v>260.9853077246291</v>
      </c>
      <c r="F93" s="43">
        <f t="shared" si="38"/>
        <v>276.6444261881068</v>
      </c>
      <c r="G93" s="43">
        <f t="shared" si="38"/>
        <v>293.2430917593932</v>
      </c>
      <c r="H93" s="43">
        <f t="shared" si="38"/>
        <v>310.8376772649568</v>
      </c>
      <c r="I93" s="43">
        <f t="shared" si="38"/>
        <v>329.48793790085426</v>
      </c>
      <c r="J93" s="43">
        <f t="shared" si="38"/>
        <v>349.2572141749055</v>
      </c>
      <c r="K93" s="44">
        <f t="shared" si="38"/>
        <v>370.21264702539986</v>
      </c>
    </row>
    <row r="94" spans="1:11" ht="15">
      <c r="A94" s="319" t="s">
        <v>138</v>
      </c>
      <c r="B94" s="42">
        <f t="shared" si="36"/>
        <v>570</v>
      </c>
      <c r="C94" s="42">
        <f aca="true" t="shared" si="39" ref="C94:K94">C23</f>
        <v>632.9887878988923</v>
      </c>
      <c r="D94" s="43">
        <f t="shared" si="39"/>
        <v>734.7704504743583</v>
      </c>
      <c r="E94" s="43">
        <f t="shared" si="39"/>
        <v>778.8566775028198</v>
      </c>
      <c r="F94" s="43">
        <f t="shared" si="39"/>
        <v>825.588078152989</v>
      </c>
      <c r="G94" s="43">
        <f t="shared" si="39"/>
        <v>875.1233628421685</v>
      </c>
      <c r="H94" s="43">
        <f t="shared" si="39"/>
        <v>927.6307646126986</v>
      </c>
      <c r="I94" s="43">
        <f t="shared" si="39"/>
        <v>983.2886104894606</v>
      </c>
      <c r="J94" s="43">
        <f t="shared" si="39"/>
        <v>1042.2859271188283</v>
      </c>
      <c r="K94" s="44">
        <f t="shared" si="39"/>
        <v>1104.8230827459581</v>
      </c>
    </row>
    <row r="95" spans="1:11" ht="15">
      <c r="A95" s="319" t="s">
        <v>139</v>
      </c>
      <c r="B95" s="42">
        <f t="shared" si="36"/>
        <v>2849</v>
      </c>
      <c r="C95" s="42">
        <f aca="true" t="shared" si="40" ref="C95:K95">C24</f>
        <v>3163.8334328490246</v>
      </c>
      <c r="D95" s="43">
        <f t="shared" si="40"/>
        <v>3672.563181406047</v>
      </c>
      <c r="E95" s="43">
        <f t="shared" si="40"/>
        <v>3892.9169722904103</v>
      </c>
      <c r="F95" s="43">
        <f t="shared" si="40"/>
        <v>4126.491990627836</v>
      </c>
      <c r="G95" s="43">
        <f t="shared" si="40"/>
        <v>4374.081510065506</v>
      </c>
      <c r="H95" s="43">
        <f t="shared" si="40"/>
        <v>4636.526400669437</v>
      </c>
      <c r="I95" s="43">
        <f t="shared" si="40"/>
        <v>4914.717984709603</v>
      </c>
      <c r="J95" s="43">
        <f t="shared" si="40"/>
        <v>5209.60106379218</v>
      </c>
      <c r="K95" s="44">
        <f t="shared" si="40"/>
        <v>5522.177127619711</v>
      </c>
    </row>
    <row r="96" spans="1:11" ht="15">
      <c r="A96" s="319" t="s">
        <v>140</v>
      </c>
      <c r="B96" s="42">
        <f t="shared" si="36"/>
        <v>13125</v>
      </c>
      <c r="C96" s="42">
        <f aca="true" t="shared" si="41" ref="C96:K96">C25</f>
        <v>13522.6875</v>
      </c>
      <c r="D96" s="43">
        <f t="shared" si="41"/>
        <v>13849.9365375</v>
      </c>
      <c r="E96" s="43">
        <f t="shared" si="41"/>
        <v>14201.7249255525</v>
      </c>
      <c r="F96" s="43">
        <f t="shared" si="41"/>
        <v>14552.507531213647</v>
      </c>
      <c r="G96" s="43">
        <f t="shared" si="41"/>
        <v>14914.864968740865</v>
      </c>
      <c r="H96" s="43">
        <f t="shared" si="41"/>
        <v>15289.22807945626</v>
      </c>
      <c r="I96" s="43">
        <f t="shared" si="41"/>
        <v>15676.045549866505</v>
      </c>
      <c r="J96" s="43">
        <f t="shared" si="41"/>
        <v>16061.67627039322</v>
      </c>
      <c r="K96" s="44">
        <f t="shared" si="41"/>
        <v>16471.24901528825</v>
      </c>
    </row>
    <row r="97" spans="1:11" ht="15">
      <c r="A97" s="319" t="s">
        <v>141</v>
      </c>
      <c r="B97" s="42">
        <f t="shared" si="36"/>
        <v>157500</v>
      </c>
      <c r="C97" s="42">
        <f aca="true" t="shared" si="42" ref="C97:K97">C26</f>
        <v>162272.25</v>
      </c>
      <c r="D97" s="43">
        <f t="shared" si="42"/>
        <v>166199.23845</v>
      </c>
      <c r="E97" s="43">
        <f t="shared" si="42"/>
        <v>170420.69910663003</v>
      </c>
      <c r="F97" s="43">
        <f t="shared" si="42"/>
        <v>174630.0903745638</v>
      </c>
      <c r="G97" s="43">
        <f t="shared" si="42"/>
        <v>178978.37962489043</v>
      </c>
      <c r="H97" s="43">
        <f t="shared" si="42"/>
        <v>183470.73695347516</v>
      </c>
      <c r="I97" s="43">
        <f t="shared" si="42"/>
        <v>188112.5465983981</v>
      </c>
      <c r="J97" s="43">
        <f t="shared" si="42"/>
        <v>192740.11524471868</v>
      </c>
      <c r="K97" s="44">
        <f t="shared" si="42"/>
        <v>197654.988183459</v>
      </c>
    </row>
    <row r="98" spans="1:11" ht="15">
      <c r="A98" s="319"/>
      <c r="B98" s="67"/>
      <c r="C98" s="42"/>
      <c r="D98" s="43"/>
      <c r="E98" s="43"/>
      <c r="F98" s="43"/>
      <c r="G98" s="43"/>
      <c r="H98" s="43"/>
      <c r="I98" s="43"/>
      <c r="J98" s="43"/>
      <c r="K98" s="44"/>
    </row>
    <row r="99" spans="1:11" s="77" customFormat="1" ht="15">
      <c r="A99" s="95" t="s">
        <v>192</v>
      </c>
      <c r="B99" s="197">
        <v>0</v>
      </c>
      <c r="C99" s="173">
        <v>0</v>
      </c>
      <c r="D99" s="173">
        <v>0</v>
      </c>
      <c r="E99" s="173">
        <v>0.2</v>
      </c>
      <c r="F99" s="173">
        <v>0.4</v>
      </c>
      <c r="G99" s="173">
        <v>0.6</v>
      </c>
      <c r="H99" s="173">
        <v>0.8</v>
      </c>
      <c r="I99" s="173">
        <v>1</v>
      </c>
      <c r="J99" s="173">
        <v>1</v>
      </c>
      <c r="K99" s="174">
        <v>1</v>
      </c>
    </row>
    <row r="100" spans="1:11" s="77" customFormat="1" ht="15">
      <c r="A100" s="95"/>
      <c r="B100" s="126"/>
      <c r="C100" s="117"/>
      <c r="D100" s="117"/>
      <c r="E100" s="117"/>
      <c r="F100" s="117"/>
      <c r="G100" s="117"/>
      <c r="H100" s="117"/>
      <c r="I100" s="117"/>
      <c r="J100" s="117"/>
      <c r="K100" s="116"/>
    </row>
    <row r="101" spans="1:11" s="77" customFormat="1" ht="15">
      <c r="A101" s="320" t="s">
        <v>290</v>
      </c>
      <c r="B101" s="213">
        <f>B83*B92*2*B87*B99/1000</f>
        <v>0</v>
      </c>
      <c r="C101" s="214">
        <f aca="true" t="shared" si="43" ref="C101:K101">C83*C92*2*C87*C99/1000</f>
        <v>0</v>
      </c>
      <c r="D101" s="215">
        <f t="shared" si="43"/>
        <v>0</v>
      </c>
      <c r="E101" s="215">
        <f t="shared" si="43"/>
        <v>40.38984059081425</v>
      </c>
      <c r="F101" s="215">
        <f t="shared" si="43"/>
        <v>85.57047042819691</v>
      </c>
      <c r="G101" s="215">
        <f t="shared" si="43"/>
        <v>135.8624842665171</v>
      </c>
      <c r="H101" s="215">
        <f t="shared" si="43"/>
        <v>191.58762311004875</v>
      </c>
      <c r="I101" s="215">
        <f t="shared" si="43"/>
        <v>253.06910365176682</v>
      </c>
      <c r="J101" s="215">
        <f t="shared" si="43"/>
        <v>267.18664213934477</v>
      </c>
      <c r="K101" s="216">
        <f t="shared" si="43"/>
        <v>281.8343587195994</v>
      </c>
    </row>
    <row r="102" spans="1:11" s="77" customFormat="1" ht="15">
      <c r="A102" s="320" t="s">
        <v>291</v>
      </c>
      <c r="B102" s="213">
        <f>B83*B93*2*B88*B99/1000</f>
        <v>0</v>
      </c>
      <c r="C102" s="214">
        <f aca="true" t="shared" si="44" ref="C102:K102">C83*C93*2*C88*C99/1000</f>
        <v>0</v>
      </c>
      <c r="D102" s="215">
        <f t="shared" si="44"/>
        <v>0</v>
      </c>
      <c r="E102" s="215">
        <f t="shared" si="44"/>
        <v>4474.296785449091</v>
      </c>
      <c r="F102" s="215">
        <f t="shared" si="44"/>
        <v>9479.306557434704</v>
      </c>
      <c r="G102" s="215">
        <f t="shared" si="44"/>
        <v>15050.544090413063</v>
      </c>
      <c r="H102" s="215">
        <f t="shared" si="44"/>
        <v>21223.651137857625</v>
      </c>
      <c r="I102" s="215">
        <f t="shared" si="44"/>
        <v>28034.432926756832</v>
      </c>
      <c r="J102" s="215">
        <f t="shared" si="44"/>
        <v>29598.342468102972</v>
      </c>
      <c r="K102" s="216">
        <f t="shared" si="44"/>
        <v>31220.983960382287</v>
      </c>
    </row>
    <row r="103" spans="1:11" s="77" customFormat="1" ht="15">
      <c r="A103" s="207" t="s">
        <v>170</v>
      </c>
      <c r="B103" s="126">
        <f>B101+B102</f>
        <v>0</v>
      </c>
      <c r="C103" s="117">
        <f aca="true" t="shared" si="45" ref="C103:K103">C101+C102</f>
        <v>0</v>
      </c>
      <c r="D103" s="117">
        <f t="shared" si="45"/>
        <v>0</v>
      </c>
      <c r="E103" s="117">
        <f t="shared" si="45"/>
        <v>4514.686626039905</v>
      </c>
      <c r="F103" s="117">
        <f t="shared" si="45"/>
        <v>9564.8770278629</v>
      </c>
      <c r="G103" s="117">
        <f t="shared" si="45"/>
        <v>15186.40657467958</v>
      </c>
      <c r="H103" s="117">
        <f t="shared" si="45"/>
        <v>21415.238760967673</v>
      </c>
      <c r="I103" s="117">
        <f t="shared" si="45"/>
        <v>28287.5020304086</v>
      </c>
      <c r="J103" s="117">
        <f t="shared" si="45"/>
        <v>29865.529110242318</v>
      </c>
      <c r="K103" s="116">
        <f t="shared" si="45"/>
        <v>31502.818319101887</v>
      </c>
    </row>
    <row r="104" spans="1:11" s="77" customFormat="1" ht="15">
      <c r="A104" s="320" t="s">
        <v>171</v>
      </c>
      <c r="B104" s="213">
        <f>B84*B94*2*B99/1000</f>
        <v>0</v>
      </c>
      <c r="C104" s="214">
        <f aca="true" t="shared" si="46" ref="C104:K104">C84*C94*2*C99/1000</f>
        <v>0</v>
      </c>
      <c r="D104" s="215">
        <f t="shared" si="46"/>
        <v>0</v>
      </c>
      <c r="E104" s="215">
        <f t="shared" si="46"/>
        <v>44.43289656098882</v>
      </c>
      <c r="F104" s="215">
        <f t="shared" si="46"/>
        <v>103.61751478022595</v>
      </c>
      <c r="G104" s="215">
        <f t="shared" si="46"/>
        <v>181.22703335061522</v>
      </c>
      <c r="H104" s="215">
        <f t="shared" si="46"/>
        <v>281.74762784908984</v>
      </c>
      <c r="I104" s="215">
        <f t="shared" si="46"/>
        <v>410.64716759004847</v>
      </c>
      <c r="J104" s="215">
        <f t="shared" si="46"/>
        <v>478.81459740999657</v>
      </c>
      <c r="K104" s="216">
        <f t="shared" si="46"/>
        <v>558.297820580056</v>
      </c>
    </row>
    <row r="105" spans="1:11" s="77" customFormat="1" ht="15">
      <c r="A105" s="320" t="s">
        <v>172</v>
      </c>
      <c r="B105" s="213">
        <f aca="true" t="shared" si="47" ref="B105:K105">B84*B95*2*B99/1000</f>
        <v>0</v>
      </c>
      <c r="C105" s="214">
        <f t="shared" si="47"/>
        <v>0</v>
      </c>
      <c r="D105" s="215">
        <f t="shared" si="47"/>
        <v>0</v>
      </c>
      <c r="E105" s="215">
        <f t="shared" si="47"/>
        <v>222.0865303548371</v>
      </c>
      <c r="F105" s="215">
        <f t="shared" si="47"/>
        <v>517.9057887874802</v>
      </c>
      <c r="G105" s="215">
        <f t="shared" si="47"/>
        <v>905.8172245893032</v>
      </c>
      <c r="H105" s="215">
        <f t="shared" si="47"/>
        <v>1408.2438451615037</v>
      </c>
      <c r="I105" s="215">
        <f t="shared" si="47"/>
        <v>2052.5154043228918</v>
      </c>
      <c r="J105" s="215">
        <f t="shared" si="47"/>
        <v>2393.232961440492</v>
      </c>
      <c r="K105" s="216">
        <f t="shared" si="47"/>
        <v>2790.509633039614</v>
      </c>
    </row>
    <row r="106" spans="1:11" s="77" customFormat="1" ht="15">
      <c r="A106" s="207" t="s">
        <v>173</v>
      </c>
      <c r="B106" s="126">
        <f>B104+B105</f>
        <v>0</v>
      </c>
      <c r="C106" s="117">
        <f aca="true" t="shared" si="48" ref="C106:K106">C104+C105</f>
        <v>0</v>
      </c>
      <c r="D106" s="117">
        <f t="shared" si="48"/>
        <v>0</v>
      </c>
      <c r="E106" s="117">
        <f t="shared" si="48"/>
        <v>266.51942691582593</v>
      </c>
      <c r="F106" s="117">
        <f t="shared" si="48"/>
        <v>621.5233035677062</v>
      </c>
      <c r="G106" s="117">
        <f t="shared" si="48"/>
        <v>1087.0442579399185</v>
      </c>
      <c r="H106" s="117">
        <f t="shared" si="48"/>
        <v>1689.9914730105936</v>
      </c>
      <c r="I106" s="117">
        <f t="shared" si="48"/>
        <v>2463.16257191294</v>
      </c>
      <c r="J106" s="117">
        <f t="shared" si="48"/>
        <v>2872.0475588504887</v>
      </c>
      <c r="K106" s="116">
        <f t="shared" si="48"/>
        <v>3348.80745361967</v>
      </c>
    </row>
    <row r="107" spans="1:11" s="77" customFormat="1" ht="15">
      <c r="A107" s="320" t="s">
        <v>174</v>
      </c>
      <c r="B107" s="213">
        <f aca="true" t="shared" si="49" ref="B107:K107">B85*B96*B89*B99/1000</f>
        <v>0</v>
      </c>
      <c r="C107" s="214">
        <f t="shared" si="49"/>
        <v>0</v>
      </c>
      <c r="D107" s="215">
        <f t="shared" si="49"/>
        <v>0</v>
      </c>
      <c r="E107" s="215">
        <f t="shared" si="49"/>
        <v>51.87722410311442</v>
      </c>
      <c r="F107" s="215">
        <f t="shared" si="49"/>
        <v>123.32793236923031</v>
      </c>
      <c r="G107" s="215">
        <f t="shared" si="49"/>
        <v>219.93390832029004</v>
      </c>
      <c r="H107" s="215">
        <f t="shared" si="49"/>
        <v>348.7025724349199</v>
      </c>
      <c r="I107" s="215">
        <f t="shared" si="49"/>
        <v>518.410883900409</v>
      </c>
      <c r="J107" s="215">
        <f t="shared" si="49"/>
        <v>616.1499983074563</v>
      </c>
      <c r="K107" s="216">
        <f t="shared" si="49"/>
        <v>732.9597149865839</v>
      </c>
    </row>
    <row r="108" spans="1:11" s="77" customFormat="1" ht="15">
      <c r="A108" s="320" t="s">
        <v>175</v>
      </c>
      <c r="B108" s="213">
        <f>B85*B97*B90*B99/1000</f>
        <v>0</v>
      </c>
      <c r="C108" s="214">
        <f aca="true" t="shared" si="50" ref="C108:K108">C85*C97*C90*C99/1000</f>
        <v>0</v>
      </c>
      <c r="D108" s="215">
        <f t="shared" si="50"/>
        <v>0</v>
      </c>
      <c r="E108" s="215">
        <f t="shared" si="50"/>
        <v>61.568573660839085</v>
      </c>
      <c r="F108" s="215">
        <f t="shared" si="50"/>
        <v>146.3672164382074</v>
      </c>
      <c r="G108" s="215">
        <f t="shared" si="50"/>
        <v>261.02046262188264</v>
      </c>
      <c r="H108" s="215">
        <f t="shared" si="50"/>
        <v>413.8448112414434</v>
      </c>
      <c r="I108" s="215">
        <f t="shared" si="50"/>
        <v>615.2568732004853</v>
      </c>
      <c r="J108" s="215">
        <f t="shared" si="50"/>
        <v>731.2549430462117</v>
      </c>
      <c r="K108" s="216">
        <f t="shared" si="50"/>
        <v>869.8862551489125</v>
      </c>
    </row>
    <row r="109" spans="1:11" s="77" customFormat="1" ht="15">
      <c r="A109" s="207" t="s">
        <v>176</v>
      </c>
      <c r="B109" s="126">
        <f>B107+B108</f>
        <v>0</v>
      </c>
      <c r="C109" s="117">
        <f aca="true" t="shared" si="51" ref="C109:K109">C107+C108</f>
        <v>0</v>
      </c>
      <c r="D109" s="117">
        <f t="shared" si="51"/>
        <v>0</v>
      </c>
      <c r="E109" s="117">
        <f t="shared" si="51"/>
        <v>113.44579776395351</v>
      </c>
      <c r="F109" s="117">
        <f t="shared" si="51"/>
        <v>269.6951488074377</v>
      </c>
      <c r="G109" s="117">
        <f t="shared" si="51"/>
        <v>480.95437094217266</v>
      </c>
      <c r="H109" s="117">
        <f t="shared" si="51"/>
        <v>762.5473836763633</v>
      </c>
      <c r="I109" s="117">
        <f t="shared" si="51"/>
        <v>1133.6677571008943</v>
      </c>
      <c r="J109" s="117">
        <f t="shared" si="51"/>
        <v>1347.404941353668</v>
      </c>
      <c r="K109" s="116">
        <f t="shared" si="51"/>
        <v>1602.8459701354964</v>
      </c>
    </row>
    <row r="110" spans="1:11" s="77" customFormat="1" ht="15">
      <c r="A110" s="207"/>
      <c r="B110" s="126"/>
      <c r="C110" s="117"/>
      <c r="D110" s="117"/>
      <c r="E110" s="117"/>
      <c r="F110" s="117"/>
      <c r="G110" s="117"/>
      <c r="H110" s="117"/>
      <c r="I110" s="117"/>
      <c r="J110" s="117"/>
      <c r="K110" s="116"/>
    </row>
    <row r="111" spans="1:11" s="77" customFormat="1" ht="15">
      <c r="A111" s="320" t="s">
        <v>193</v>
      </c>
      <c r="B111" s="126">
        <f>B83*100*2*B99/1000</f>
        <v>0</v>
      </c>
      <c r="C111" s="118">
        <f aca="true" t="shared" si="52" ref="C111:K111">C83*100*2*C99/1000</f>
        <v>0</v>
      </c>
      <c r="D111" s="117">
        <f t="shared" si="52"/>
        <v>0</v>
      </c>
      <c r="E111" s="117">
        <f t="shared" si="52"/>
        <v>1719.5450980639705</v>
      </c>
      <c r="F111" s="117">
        <f t="shared" si="52"/>
        <v>3436.8413557381787</v>
      </c>
      <c r="G111" s="117">
        <f t="shared" si="52"/>
        <v>5147.889927976458</v>
      </c>
      <c r="H111" s="117">
        <f t="shared" si="52"/>
        <v>6848.434162229604</v>
      </c>
      <c r="I111" s="117">
        <f t="shared" si="52"/>
        <v>8534.087612974148</v>
      </c>
      <c r="J111" s="117">
        <f t="shared" si="52"/>
        <v>8500.155036821137</v>
      </c>
      <c r="K111" s="116">
        <f t="shared" si="52"/>
        <v>8458.632896048435</v>
      </c>
    </row>
    <row r="112" spans="1:12" s="77" customFormat="1" ht="15">
      <c r="A112" s="320" t="s">
        <v>195</v>
      </c>
      <c r="B112" s="126">
        <f>B84*100*2*B99/1000</f>
        <v>0</v>
      </c>
      <c r="C112" s="118">
        <f aca="true" t="shared" si="53" ref="C112:K112">C84*100*2*C99/1000</f>
        <v>0</v>
      </c>
      <c r="D112" s="117">
        <f t="shared" si="53"/>
        <v>0</v>
      </c>
      <c r="E112" s="117">
        <f t="shared" si="53"/>
        <v>5.70488741310534</v>
      </c>
      <c r="F112" s="117">
        <f t="shared" si="53"/>
        <v>12.55075230883175</v>
      </c>
      <c r="G112" s="117">
        <f t="shared" si="53"/>
        <v>20.70874130957239</v>
      </c>
      <c r="H112" s="117">
        <f t="shared" si="53"/>
        <v>30.37282058737284</v>
      </c>
      <c r="I112" s="117">
        <f t="shared" si="53"/>
        <v>41.762628307637655</v>
      </c>
      <c r="J112" s="117">
        <f t="shared" si="53"/>
        <v>45.93889113840143</v>
      </c>
      <c r="K112" s="116">
        <f t="shared" si="53"/>
        <v>50.53278025224157</v>
      </c>
      <c r="L112" s="77" t="s">
        <v>323</v>
      </c>
    </row>
    <row r="113" spans="1:12" s="77" customFormat="1" ht="15">
      <c r="A113" s="320" t="s">
        <v>194</v>
      </c>
      <c r="B113" s="126">
        <f>B85*100*2*B99/1000</f>
        <v>0</v>
      </c>
      <c r="C113" s="117">
        <f>C85*100*2*C99/1000</f>
        <v>0</v>
      </c>
      <c r="D113" s="117">
        <f>D85*100*2*D99/1000</f>
        <v>0</v>
      </c>
      <c r="E113" s="117">
        <f>E85*100*2*E99/1000</f>
        <v>0.8028311895026118</v>
      </c>
      <c r="F113" s="117">
        <f aca="true" t="shared" si="54" ref="F113:K113">F85*100*2*F99/1000</f>
        <v>1.862568359646059</v>
      </c>
      <c r="G113" s="117">
        <f t="shared" si="54"/>
        <v>3.2408689457841424</v>
      </c>
      <c r="H113" s="117">
        <f t="shared" si="54"/>
        <v>5.012543969479474</v>
      </c>
      <c r="I113" s="117">
        <f t="shared" si="54"/>
        <v>7.268188755745236</v>
      </c>
      <c r="J113" s="117">
        <f t="shared" si="54"/>
        <v>8.431098956664473</v>
      </c>
      <c r="K113" s="116">
        <f t="shared" si="54"/>
        <v>9.780074789730786</v>
      </c>
      <c r="L113" s="77" t="s">
        <v>324</v>
      </c>
    </row>
    <row r="114" spans="1:11" s="77" customFormat="1" ht="15">
      <c r="A114" s="207" t="s">
        <v>238</v>
      </c>
      <c r="B114" s="126">
        <f>SUM(B111:B113)</f>
        <v>0</v>
      </c>
      <c r="C114" s="118">
        <f aca="true" t="shared" si="55" ref="C114:K114">SUM(C111:C113)</f>
        <v>0</v>
      </c>
      <c r="D114" s="117">
        <f t="shared" si="55"/>
        <v>0</v>
      </c>
      <c r="E114" s="117">
        <f t="shared" si="55"/>
        <v>1726.0528166665783</v>
      </c>
      <c r="F114" s="117">
        <f t="shared" si="55"/>
        <v>3451.2546764066565</v>
      </c>
      <c r="G114" s="117">
        <f t="shared" si="55"/>
        <v>5171.839538231815</v>
      </c>
      <c r="H114" s="117">
        <f t="shared" si="55"/>
        <v>6883.819526786457</v>
      </c>
      <c r="I114" s="117">
        <f t="shared" si="55"/>
        <v>8583.11843003753</v>
      </c>
      <c r="J114" s="117">
        <f t="shared" si="55"/>
        <v>8554.525026916202</v>
      </c>
      <c r="K114" s="116">
        <f t="shared" si="55"/>
        <v>8518.945751090409</v>
      </c>
    </row>
    <row r="115" spans="1:11" s="77" customFormat="1" ht="15">
      <c r="A115" s="207"/>
      <c r="B115" s="126"/>
      <c r="C115" s="118"/>
      <c r="D115" s="117"/>
      <c r="E115" s="117"/>
      <c r="F115" s="117"/>
      <c r="G115" s="117"/>
      <c r="H115" s="117"/>
      <c r="I115" s="117"/>
      <c r="J115" s="117"/>
      <c r="K115" s="116"/>
    </row>
    <row r="116" spans="1:11" s="77" customFormat="1" ht="15">
      <c r="A116" s="207" t="s">
        <v>196</v>
      </c>
      <c r="B116" s="126">
        <f>SUM(B$103,B$106,B$109,B$114)</f>
        <v>0</v>
      </c>
      <c r="C116" s="118">
        <f aca="true" t="shared" si="56" ref="C116:K116">SUM(C$103,C$106,C$109,C$114)</f>
        <v>0</v>
      </c>
      <c r="D116" s="117">
        <f t="shared" si="56"/>
        <v>0</v>
      </c>
      <c r="E116" s="117">
        <f t="shared" si="56"/>
        <v>6620.7046673862615</v>
      </c>
      <c r="F116" s="117">
        <f t="shared" si="56"/>
        <v>13907.350156644701</v>
      </c>
      <c r="G116" s="117">
        <f t="shared" si="56"/>
        <v>21926.24474179349</v>
      </c>
      <c r="H116" s="117">
        <f t="shared" si="56"/>
        <v>30751.597144441086</v>
      </c>
      <c r="I116" s="117">
        <f t="shared" si="56"/>
        <v>40467.45078945997</v>
      </c>
      <c r="J116" s="117">
        <f t="shared" si="56"/>
        <v>42639.506637362676</v>
      </c>
      <c r="K116" s="116">
        <f t="shared" si="56"/>
        <v>44973.41749394746</v>
      </c>
    </row>
    <row r="117" spans="1:11" s="77" customFormat="1" ht="15">
      <c r="A117" s="95"/>
      <c r="B117" s="126"/>
      <c r="C117" s="117"/>
      <c r="D117" s="117"/>
      <c r="E117" s="117"/>
      <c r="F117" s="117"/>
      <c r="G117" s="117"/>
      <c r="H117" s="117"/>
      <c r="I117" s="117"/>
      <c r="J117" s="117"/>
      <c r="K117" s="116"/>
    </row>
    <row r="118" spans="1:11" s="77" customFormat="1" ht="15">
      <c r="A118" s="95" t="s">
        <v>197</v>
      </c>
      <c r="B118" s="126">
        <f>10%*B116</f>
        <v>0</v>
      </c>
      <c r="C118" s="118">
        <f aca="true" t="shared" si="57" ref="C118:K118">10%*C116</f>
        <v>0</v>
      </c>
      <c r="D118" s="117">
        <f t="shared" si="57"/>
        <v>0</v>
      </c>
      <c r="E118" s="117">
        <f t="shared" si="57"/>
        <v>662.0704667386262</v>
      </c>
      <c r="F118" s="117">
        <f t="shared" si="57"/>
        <v>1390.7350156644702</v>
      </c>
      <c r="G118" s="117">
        <f t="shared" si="57"/>
        <v>2192.624474179349</v>
      </c>
      <c r="H118" s="117">
        <f t="shared" si="57"/>
        <v>3075.159714444109</v>
      </c>
      <c r="I118" s="117">
        <f t="shared" si="57"/>
        <v>4046.7450789459967</v>
      </c>
      <c r="J118" s="117">
        <f t="shared" si="57"/>
        <v>4263.950663736267</v>
      </c>
      <c r="K118" s="116">
        <f t="shared" si="57"/>
        <v>4497.341749394746</v>
      </c>
    </row>
    <row r="119" spans="1:11" ht="15">
      <c r="A119" s="65"/>
      <c r="B119" s="67"/>
      <c r="C119" s="43"/>
      <c r="D119" s="43"/>
      <c r="E119" s="43"/>
      <c r="F119" s="43"/>
      <c r="G119" s="43"/>
      <c r="H119" s="43"/>
      <c r="I119" s="43"/>
      <c r="J119" s="43"/>
      <c r="K119" s="44"/>
    </row>
    <row r="120" spans="1:11" ht="15">
      <c r="A120" s="502" t="s">
        <v>191</v>
      </c>
      <c r="B120" s="498">
        <f>B116+B118</f>
        <v>0</v>
      </c>
      <c r="C120" s="499">
        <f aca="true" t="shared" si="58" ref="C120:K120">C116+C118</f>
        <v>0</v>
      </c>
      <c r="D120" s="500">
        <f t="shared" si="58"/>
        <v>0</v>
      </c>
      <c r="E120" s="500">
        <f t="shared" si="58"/>
        <v>7282.775134124888</v>
      </c>
      <c r="F120" s="500">
        <f t="shared" si="58"/>
        <v>15298.085172309171</v>
      </c>
      <c r="G120" s="500">
        <f t="shared" si="58"/>
        <v>24118.869215972838</v>
      </c>
      <c r="H120" s="500">
        <f t="shared" si="58"/>
        <v>33826.756858885194</v>
      </c>
      <c r="I120" s="500">
        <f t="shared" si="58"/>
        <v>44514.195868405965</v>
      </c>
      <c r="J120" s="500">
        <f t="shared" si="58"/>
        <v>46903.45730109894</v>
      </c>
      <c r="K120" s="501">
        <f t="shared" si="58"/>
        <v>49470.75924334221</v>
      </c>
    </row>
    <row r="121" spans="1:11" ht="15">
      <c r="A121" s="502" t="s">
        <v>120</v>
      </c>
      <c r="B121" s="512">
        <f>B120/(ECO!H$28*1000)</f>
        <v>0</v>
      </c>
      <c r="C121" s="512">
        <f>C120/(ECO!I$28*1000)</f>
        <v>0</v>
      </c>
      <c r="D121" s="504">
        <f>D120/(ECO!J$28*1000)</f>
        <v>0</v>
      </c>
      <c r="E121" s="504">
        <f>E120/(ECO!K$28*1000)</f>
        <v>0.0005562550751631954</v>
      </c>
      <c r="F121" s="504">
        <f>F120/(ECO!L$28*1000)</f>
        <v>0.0010778939383289405</v>
      </c>
      <c r="G121" s="504">
        <f>G120/(ECO!M$28*1000)</f>
        <v>0.001566676121032888</v>
      </c>
      <c r="H121" s="504">
        <f>H120/(ECO!N$28*1000)</f>
        <v>0.0020248050038300315</v>
      </c>
      <c r="I121" s="504">
        <f>I120/(ECO!O$28*1000)</f>
        <v>0.002454579715227545</v>
      </c>
      <c r="J121" s="504">
        <f>J120/(ECO!P$28*1000)</f>
        <v>0.0023826241426410503</v>
      </c>
      <c r="K121" s="505">
        <f>K120/(ECO!Q$28*1000)</f>
        <v>0.0023139689755800837</v>
      </c>
    </row>
    <row r="122" spans="1:11" ht="15">
      <c r="A122" s="506" t="s">
        <v>123</v>
      </c>
      <c r="B122" s="513">
        <f>B120/('GGO (SQ)'!H$11*1000)</f>
        <v>0</v>
      </c>
      <c r="C122" s="513">
        <f>C120/('GGO (SQ)'!I$11*1000)</f>
        <v>0</v>
      </c>
      <c r="D122" s="508">
        <f>D120/('GGO (SQ)'!J$11*1000)</f>
        <v>0</v>
      </c>
      <c r="E122" s="508">
        <f>E120/('GGO (SQ)'!K$11*1000)</f>
        <v>0.0028188783336113286</v>
      </c>
      <c r="F122" s="508">
        <f>F120/('GGO (SQ)'!L$11*1000)</f>
        <v>0.005499438545719417</v>
      </c>
      <c r="G122" s="508">
        <f>G120/('GGO (SQ)'!M$11*1000)</f>
        <v>0.008050985696470565</v>
      </c>
      <c r="H122" s="508">
        <f>H120/('GGO (SQ)'!N$11*1000)</f>
        <v>0.010482637024543806</v>
      </c>
      <c r="I122" s="508">
        <f>I120/('GGO (SQ)'!O$11*1000)</f>
        <v>0.012803591648049173</v>
      </c>
      <c r="J122" s="508">
        <f>J120/('GGO (SQ)'!P$11*1000)</f>
        <v>0.012518852242283841</v>
      </c>
      <c r="K122" s="509">
        <f>K120/('GGO (SQ)'!Q$11*1000)</f>
        <v>0.012249988855415507</v>
      </c>
    </row>
    <row r="125" ht="15">
      <c r="K125" s="334"/>
    </row>
    <row r="126" ht="15">
      <c r="K126" s="334"/>
    </row>
  </sheetData>
  <mergeCells count="5">
    <mergeCell ref="A82:K82"/>
    <mergeCell ref="J4:K4"/>
    <mergeCell ref="J5:K5"/>
    <mergeCell ref="A10:K10"/>
    <mergeCell ref="A47:K47"/>
  </mergeCells>
  <printOptions/>
  <pageMargins left="0.7" right="0.7" top="0.75" bottom="0.75" header="0.3" footer="0.3"/>
  <pageSetup horizontalDpi="600" verticalDpi="600" orientation="portrait" paperSize="5" r:id="rId1"/>
</worksheet>
</file>

<file path=xl/worksheets/sheet14.xml><?xml version="1.0" encoding="utf-8"?>
<worksheet xmlns="http://schemas.openxmlformats.org/spreadsheetml/2006/main" xmlns:r="http://schemas.openxmlformats.org/officeDocument/2006/relationships">
  <sheetPr>
    <tabColor theme="5" tint="-0.24997000396251678"/>
  </sheetPr>
  <dimension ref="A2:U52"/>
  <sheetViews>
    <sheetView zoomScaleSheetLayoutView="100" workbookViewId="0" topLeftCell="A1">
      <pane ySplit="2" topLeftCell="A3" activePane="bottomLeft" state="frozen"/>
      <selection pane="bottomLeft" activeCell="A1" sqref="A1"/>
    </sheetView>
  </sheetViews>
  <sheetFormatPr defaultColWidth="8.8515625" defaultRowHeight="15"/>
  <cols>
    <col min="1" max="1" width="99.421875" style="77" customWidth="1"/>
    <col min="2" max="10" width="8.8515625" style="77" customWidth="1"/>
    <col min="11" max="16384" width="8.8515625" style="147" customWidth="1"/>
  </cols>
  <sheetData>
    <row r="2" spans="1:9" ht="15">
      <c r="A2" s="248" t="s">
        <v>120</v>
      </c>
      <c r="B2" s="249">
        <v>2013</v>
      </c>
      <c r="C2" s="249">
        <v>2014</v>
      </c>
      <c r="D2" s="249">
        <v>2015</v>
      </c>
      <c r="E2" s="249">
        <v>2016</v>
      </c>
      <c r="F2" s="249">
        <v>2017</v>
      </c>
      <c r="G2" s="249">
        <v>2018</v>
      </c>
      <c r="H2" s="249">
        <v>2019</v>
      </c>
      <c r="I2" s="249">
        <v>2020</v>
      </c>
    </row>
    <row r="3" spans="1:9" ht="15">
      <c r="A3" s="250" t="s">
        <v>116</v>
      </c>
      <c r="B3" s="251"/>
      <c r="C3" s="251"/>
      <c r="D3" s="251"/>
      <c r="E3" s="251"/>
      <c r="F3" s="251"/>
      <c r="G3" s="251"/>
      <c r="H3" s="251"/>
      <c r="I3" s="252"/>
    </row>
    <row r="4" spans="1:9" ht="29.25" customHeight="1">
      <c r="A4" s="556" t="str">
        <f>Health!A10</f>
        <v>Scenario 1: Extension of PHCP to uncovered poor people</v>
      </c>
      <c r="B4" s="557">
        <f>Health!D29</f>
        <v>0</v>
      </c>
      <c r="C4" s="557">
        <f>Health!E29</f>
        <v>0.00015332805257591665</v>
      </c>
      <c r="D4" s="557">
        <f>Health!F29</f>
        <v>0.00028575112243467237</v>
      </c>
      <c r="E4" s="557">
        <f>Health!G29</f>
        <v>0.0003987082586213249</v>
      </c>
      <c r="F4" s="557">
        <f>Health!H29</f>
        <v>0.0004952282123317816</v>
      </c>
      <c r="G4" s="557">
        <f>Health!I29</f>
        <v>0.00046047488782506195</v>
      </c>
      <c r="H4" s="557">
        <f>Health!J29</f>
        <v>0.0004288517883073375</v>
      </c>
      <c r="I4" s="558">
        <f>Health!K29</f>
        <v>0.00039848268327304835</v>
      </c>
    </row>
    <row r="5" spans="1:9" ht="29.25" customHeight="1">
      <c r="A5" s="553" t="str">
        <f>Health!A32</f>
        <v>Scenario 2: Extension of PHCP to all informal economy workers</v>
      </c>
      <c r="B5" s="554">
        <f>Health!D51</f>
        <v>0</v>
      </c>
      <c r="C5" s="554">
        <f>Health!E51</f>
        <v>0.001965035077757004</v>
      </c>
      <c r="D5" s="554">
        <f>Health!F51</f>
        <v>0.0038567200368727597</v>
      </c>
      <c r="E5" s="554">
        <f>Health!G51</f>
        <v>0.005662706553693266</v>
      </c>
      <c r="F5" s="554">
        <f>Health!H51</f>
        <v>0.0073969269481671185</v>
      </c>
      <c r="G5" s="554">
        <f>Health!I51</f>
        <v>0.007230014157710468</v>
      </c>
      <c r="H5" s="554">
        <f>Health!J51</f>
        <v>0.007076233182939817</v>
      </c>
      <c r="I5" s="555">
        <f>Health!K51</f>
        <v>0.006908748988008563</v>
      </c>
    </row>
    <row r="6" spans="1:9" ht="29.25" customHeight="1">
      <c r="A6" s="559" t="str">
        <f>Health!A54</f>
        <v>Scenario 3: Extension of PHCP to all uncovered poor (scenario 1) and transportation allowance for all poor people</v>
      </c>
      <c r="B6" s="560">
        <f>Health!D72</f>
        <v>0</v>
      </c>
      <c r="C6" s="560">
        <f>Health!E72</f>
        <v>0.0002005059149069679</v>
      </c>
      <c r="D6" s="560">
        <f>Health!F72</f>
        <v>0.0003736745447222639</v>
      </c>
      <c r="E6" s="560">
        <f>Health!G72</f>
        <v>0.0005213877228125017</v>
      </c>
      <c r="F6" s="560">
        <f>Health!H72</f>
        <v>0.0006476061238184838</v>
      </c>
      <c r="G6" s="560">
        <f>Health!I72</f>
        <v>0.0006021594686943118</v>
      </c>
      <c r="H6" s="560">
        <f>Health!J72</f>
        <v>0.0005608061847095951</v>
      </c>
      <c r="I6" s="561">
        <f>Health!K72</f>
        <v>0.0005210927396647556</v>
      </c>
    </row>
    <row r="7" spans="1:9" ht="15">
      <c r="A7" s="253" t="s">
        <v>17</v>
      </c>
      <c r="B7" s="251"/>
      <c r="C7" s="251"/>
      <c r="D7" s="251"/>
      <c r="E7" s="251"/>
      <c r="F7" s="251"/>
      <c r="G7" s="251"/>
      <c r="H7" s="251"/>
      <c r="I7" s="252"/>
    </row>
    <row r="8" spans="1:9" ht="29.25" customHeight="1">
      <c r="A8" s="553" t="str">
        <f>Children!A10</f>
        <v>Scenario 1: Provision of a conditional child allowance of COD 3,000 annually to the poorest 25% of all children</v>
      </c>
      <c r="B8" s="554">
        <f>Children!D23</f>
        <v>0</v>
      </c>
      <c r="C8" s="554">
        <f>Children!E23</f>
        <v>0.0002130272870198201</v>
      </c>
      <c r="D8" s="554">
        <f>Children!F23</f>
        <v>0.0003973047028357512</v>
      </c>
      <c r="E8" s="554">
        <f>Children!G23</f>
        <v>0.000555829127151233</v>
      </c>
      <c r="F8" s="554">
        <f>Children!H23</f>
        <v>0.0006912041445635269</v>
      </c>
      <c r="G8" s="554">
        <f>Children!I23</f>
        <v>0.0006447557547806973</v>
      </c>
      <c r="H8" s="554">
        <f>Children!J23</f>
        <v>0.0006012264150056796</v>
      </c>
      <c r="I8" s="555">
        <f>Children!K23</f>
        <v>0.0005610358956021788</v>
      </c>
    </row>
    <row r="9" spans="1:9" ht="29.25" customHeight="1">
      <c r="A9" s="562" t="str">
        <f>Children!A26</f>
        <v xml:space="preserve"> Scenario 2: Provision of a conditional child allowance of COD 4,000 annually to poor children</v>
      </c>
      <c r="B9" s="557">
        <f>Children!D40</f>
        <v>0</v>
      </c>
      <c r="C9" s="557">
        <f>Children!E40</f>
        <v>0.0001008667414134007</v>
      </c>
      <c r="D9" s="557">
        <f>Children!F40</f>
        <v>0.0001783951091773396</v>
      </c>
      <c r="E9" s="557">
        <f>Children!G40</f>
        <v>0.00023602069803317085</v>
      </c>
      <c r="F9" s="557">
        <f>Children!H40</f>
        <v>0.00027769666479071956</v>
      </c>
      <c r="G9" s="557">
        <f>Children!I40</f>
        <v>0.0002443113645742697</v>
      </c>
      <c r="H9" s="557">
        <f>Children!J40</f>
        <v>0.000214812534114998</v>
      </c>
      <c r="I9" s="558">
        <f>Children!K40</f>
        <v>0.00018828074764540208</v>
      </c>
    </row>
    <row r="10" spans="1:9" ht="29.25" customHeight="1">
      <c r="A10" s="572" t="str">
        <f>Children!A43</f>
        <v>Scenario 3: Provision of mid-day meals and milk bottles to all school age children</v>
      </c>
      <c r="B10" s="568">
        <f>Children!D58</f>
        <v>0</v>
      </c>
      <c r="C10" s="568">
        <f>Children!E58</f>
        <v>0.0010994244117687292</v>
      </c>
      <c r="D10" s="568">
        <f>Children!F58</f>
        <v>0.0018962047182403208</v>
      </c>
      <c r="E10" s="568">
        <f>Children!G58</f>
        <v>0.0026494224995931744</v>
      </c>
      <c r="F10" s="568">
        <f>Children!H58</f>
        <v>0.0032922618212586634</v>
      </c>
      <c r="G10" s="568">
        <f>Children!I58</f>
        <v>0.0030705461546962406</v>
      </c>
      <c r="H10" s="568">
        <f>Children!J58</f>
        <v>0.002864630400455851</v>
      </c>
      <c r="I10" s="569">
        <f>Children!K58</f>
        <v>0.0026746002253092414</v>
      </c>
    </row>
    <row r="11" spans="1:9" ht="15">
      <c r="A11" s="250" t="s">
        <v>125</v>
      </c>
      <c r="B11" s="251"/>
      <c r="C11" s="251"/>
      <c r="D11" s="251"/>
      <c r="E11" s="251"/>
      <c r="F11" s="251"/>
      <c r="G11" s="251"/>
      <c r="H11" s="251"/>
      <c r="I11" s="252"/>
    </row>
    <row r="12" spans="1:9" ht="30.75" customHeight="1">
      <c r="A12" s="562" t="str">
        <f>'Working age'!A10:K10</f>
        <v>Scenario 1: Introduce a universal basic disability allowance of COD 500 per month for all adults with disabilities (15 years of age and above)</v>
      </c>
      <c r="B12" s="557">
        <f>'Working age'!D25</f>
        <v>0</v>
      </c>
      <c r="C12" s="557">
        <f>'Working age'!E25</f>
        <v>0.0001123237075790097</v>
      </c>
      <c r="D12" s="557">
        <f>'Working age'!F25</f>
        <v>0.00021393356816423427</v>
      </c>
      <c r="E12" s="557">
        <f>'Working age'!G25</f>
        <v>0.00030469026372776915</v>
      </c>
      <c r="F12" s="557">
        <f>'Working age'!H25</f>
        <v>0.00038620473577603625</v>
      </c>
      <c r="G12" s="557">
        <f>'Working age'!I25</f>
        <v>0.00036617502433167903</v>
      </c>
      <c r="H12" s="557">
        <f>'Working age'!J25</f>
        <v>0.00034746107136198937</v>
      </c>
      <c r="I12" s="558">
        <f>'Working age'!K25</f>
        <v>0.0003290141612016645</v>
      </c>
    </row>
    <row r="13" spans="1:9" ht="30.75" customHeight="1">
      <c r="A13" s="571" t="str">
        <f>'Working age'!A28:K28</f>
        <v>Scenario 2: Extend a Public Works Programme guaranteeing 100 days of work to rural households at the minimum wage</v>
      </c>
      <c r="B13" s="554">
        <f>'Working age'!D45</f>
        <v>0</v>
      </c>
      <c r="C13" s="554">
        <f>'Working age'!E45</f>
        <v>0.001199802199151169</v>
      </c>
      <c r="D13" s="554">
        <f>'Working age'!F45</f>
        <v>0.002276398712814346</v>
      </c>
      <c r="E13" s="554">
        <f>'Working age'!G45</f>
        <v>0.0032316915433266463</v>
      </c>
      <c r="F13" s="554">
        <f>'Working age'!H45</f>
        <v>0.0030618140131540655</v>
      </c>
      <c r="G13" s="554">
        <f>'Working age'!I45</f>
        <v>0.0028947543589448654</v>
      </c>
      <c r="H13" s="554">
        <f>'Working age'!J45</f>
        <v>0.002738565867015511</v>
      </c>
      <c r="I13" s="555">
        <f>'Working age'!K45</f>
        <v>0.0025867250481987365</v>
      </c>
    </row>
    <row r="14" spans="1:9" ht="30.75" customHeight="1">
      <c r="A14" s="563" t="str">
        <f>'Working age'!A48:K48</f>
        <v>Scenario 3: Provide training for 60 days every 5 years to informal economy workers (employed, unemployed, underemployed) and a daily poverty alleviation payment for poor trainees at 50 per cent of the minimum wage</v>
      </c>
      <c r="B14" s="560">
        <f>'Working age'!D72</f>
        <v>0</v>
      </c>
      <c r="C14" s="560">
        <f>'Working age'!E72</f>
        <v>0.008583849279084961</v>
      </c>
      <c r="D14" s="560">
        <f>'Working age'!F72</f>
        <v>0.008406225014461853</v>
      </c>
      <c r="E14" s="560">
        <f>'Working age'!G72</f>
        <v>0.008218436508500118</v>
      </c>
      <c r="F14" s="560">
        <f>'Working age'!H72</f>
        <v>0.008032174102647055</v>
      </c>
      <c r="G14" s="560">
        <f>'Working age'!I72</f>
        <v>0.007839309734514655</v>
      </c>
      <c r="H14" s="560">
        <f>'Working age'!J72</f>
        <v>0.007651733526902895</v>
      </c>
      <c r="I14" s="561">
        <f>'Working age'!K72</f>
        <v>0.007457097649561605</v>
      </c>
    </row>
    <row r="15" spans="1:9" ht="15">
      <c r="A15" s="253" t="s">
        <v>118</v>
      </c>
      <c r="B15" s="254"/>
      <c r="C15" s="254"/>
      <c r="D15" s="254"/>
      <c r="E15" s="254"/>
      <c r="F15" s="254"/>
      <c r="G15" s="254"/>
      <c r="H15" s="254"/>
      <c r="I15" s="255"/>
    </row>
    <row r="16" spans="1:9" ht="30">
      <c r="A16" s="570" t="str">
        <f>Elderly!A10</f>
        <v>Scenario 1: Provision of UPS benefits at the poverty line level, indexed on inflation, to the elderly aged 75 years and older in the informal economy and not covered by VPP</v>
      </c>
      <c r="B16" s="554">
        <f>Elderly!D34</f>
        <v>0</v>
      </c>
      <c r="C16" s="554">
        <f>Elderly!E34</f>
        <v>0.0005597507241096117</v>
      </c>
      <c r="D16" s="554">
        <f>Elderly!F34</f>
        <v>0.0013668361246091866</v>
      </c>
      <c r="E16" s="554">
        <f>Elderly!G34</f>
        <v>0.002136890839815251</v>
      </c>
      <c r="F16" s="554">
        <f>Elderly!H34</f>
        <v>0.0028710974313991507</v>
      </c>
      <c r="G16" s="554">
        <f>Elderly!I34</f>
        <v>0.0035703366788473363</v>
      </c>
      <c r="H16" s="554">
        <f>Elderly!J34</f>
        <v>0.003491206771237648</v>
      </c>
      <c r="I16" s="555">
        <f>Elderly!K34</f>
        <v>0.0034147080493207105</v>
      </c>
    </row>
    <row r="17" spans="1:9" ht="30">
      <c r="A17" s="564" t="str">
        <f>Elderly!A37</f>
        <v>Scenario 2: Extension of UPS benefits at the poverty line level, indexed on inflation, to the elderly aged 60 years and older in the informal economy and not covered by VPP</v>
      </c>
      <c r="B17" s="557">
        <f>Elderly!D58</f>
        <v>0</v>
      </c>
      <c r="C17" s="557">
        <f>Elderly!E58</f>
        <v>0.0017048742812837228</v>
      </c>
      <c r="D17" s="557">
        <f>Elderly!F58</f>
        <v>0.0036368867954798866</v>
      </c>
      <c r="E17" s="557">
        <f>Elderly!G58</f>
        <v>0.005505392036061158</v>
      </c>
      <c r="F17" s="557">
        <f>Elderly!H58</f>
        <v>0.007307197320233853</v>
      </c>
      <c r="G17" s="557">
        <f>Elderly!I58</f>
        <v>0.009040314165931828</v>
      </c>
      <c r="H17" s="557">
        <f>Elderly!J58</f>
        <v>0.008879439439353161</v>
      </c>
      <c r="I17" s="558">
        <f>Elderly!K58</f>
        <v>0.00872048873396602</v>
      </c>
    </row>
    <row r="18" spans="1:9" ht="30">
      <c r="A18" s="570" t="str">
        <f>Elderly!A61</f>
        <v>Scenario 3: Extension of UPS benefits at 50 per cent of poverty line level, indexed on inflation, to the elderly aged 60 years and older in the informal economy and covered by VPP</v>
      </c>
      <c r="B18" s="568">
        <f>Elderly!D77</f>
        <v>0</v>
      </c>
      <c r="C18" s="568">
        <f>Elderly!E77</f>
        <v>0.0001868653131258868</v>
      </c>
      <c r="D18" s="568">
        <f>Elderly!F77</f>
        <v>0.0003683211031909822</v>
      </c>
      <c r="E18" s="568">
        <f>Elderly!G77</f>
        <v>0.0005438151184104187</v>
      </c>
      <c r="F18" s="568">
        <f>Elderly!H77</f>
        <v>0.0007130502487299511</v>
      </c>
      <c r="G18" s="568">
        <f>Elderly!I77</f>
        <v>0.0008758361030097517</v>
      </c>
      <c r="H18" s="568">
        <f>Elderly!J77</f>
        <v>0.0008596279825414247</v>
      </c>
      <c r="I18" s="569">
        <f>Elderly!K77</f>
        <v>0.0008436365976515712</v>
      </c>
    </row>
    <row r="19" spans="1:9" ht="15">
      <c r="A19" s="250" t="s">
        <v>119</v>
      </c>
      <c r="B19" s="254"/>
      <c r="C19" s="254"/>
      <c r="D19" s="254"/>
      <c r="E19" s="254"/>
      <c r="F19" s="254"/>
      <c r="G19" s="254"/>
      <c r="H19" s="254"/>
      <c r="I19" s="252"/>
    </row>
    <row r="20" spans="1:9" ht="29.25" customHeight="1">
      <c r="A20" s="562" t="str">
        <f>Maternity!A17</f>
        <v>Scenario 1: Extend a conditional cash transfer equal to three months of the poverty line (per child), upon delivery, to all informal sector women if they fulfil the conditions of a minimum number of hospital visits and a stipulated nutritional intake</v>
      </c>
      <c r="B20" s="557">
        <f>Maternity!D32</f>
        <v>0</v>
      </c>
      <c r="C20" s="557">
        <f>Maternity!E32</f>
        <v>5.247378292356676E-05</v>
      </c>
      <c r="D20" s="557">
        <f>Maternity!F32</f>
        <v>9.845351516834363E-05</v>
      </c>
      <c r="E20" s="557">
        <f>Maternity!G32</f>
        <v>0.00013855802201086852</v>
      </c>
      <c r="F20" s="557">
        <f>Maternity!H32</f>
        <v>0.0001720144509989099</v>
      </c>
      <c r="G20" s="557">
        <f>Maternity!I32</f>
        <v>0.00016017146610019907</v>
      </c>
      <c r="H20" s="557">
        <f>Maternity!J32</f>
        <v>0.0001490275017587381</v>
      </c>
      <c r="I20" s="558">
        <f>Maternity!K32</f>
        <v>0.00013872220486984567</v>
      </c>
    </row>
    <row r="21" spans="1:9" ht="29.25" customHeight="1">
      <c r="A21" s="571" t="str">
        <f>Maternity!A35</f>
        <v>Scenario 2: Extend a conditional cash transfer of COD 4,000 (per child) upon delivery to informal sector women, indexed on inflation, if they fulfil the conditions of a minimum number of hospital visits and a stipulated nutritional intake</v>
      </c>
      <c r="B21" s="554">
        <f>Maternity!D50</f>
        <v>0</v>
      </c>
      <c r="C21" s="554">
        <f>Maternity!E50</f>
        <v>4.0170505545308574E-05</v>
      </c>
      <c r="D21" s="554">
        <f>Maternity!F50</f>
        <v>7.536958947262885E-05</v>
      </c>
      <c r="E21" s="554">
        <f>Maternity!G50</f>
        <v>0.00010607098405010993</v>
      </c>
      <c r="F21" s="554">
        <f>Maternity!H50</f>
        <v>0.00013168304385048588</v>
      </c>
      <c r="G21" s="554">
        <f>Maternity!I50</f>
        <v>0.00012261682708392208</v>
      </c>
      <c r="H21" s="554">
        <f>Maternity!J50</f>
        <v>0.00011408573486159392</v>
      </c>
      <c r="I21" s="555">
        <f>Maternity!K50</f>
        <v>0.00010619667173793288</v>
      </c>
    </row>
    <row r="22" spans="1:9" ht="29.25" customHeight="1">
      <c r="A22" s="559" t="str">
        <f>Maternity!A53</f>
        <v>Scenario 3: Extend a conditional cash transfer of COD 6,000 (per child) upon delivery to informal sector women, indexed on inflation, if they fulfil the conditions of a minimum number of hospital visits and a stipulated nutritional intake</v>
      </c>
      <c r="B22" s="560">
        <f>Maternity!D68</f>
        <v>0</v>
      </c>
      <c r="C22" s="560">
        <f>Maternity!E68</f>
        <v>6.025575831796287E-05</v>
      </c>
      <c r="D22" s="560">
        <f>Maternity!F68</f>
        <v>0.00011305438420894327</v>
      </c>
      <c r="E22" s="560">
        <f>Maternity!G68</f>
        <v>0.0001591064760751649</v>
      </c>
      <c r="F22" s="560">
        <f>Maternity!H68</f>
        <v>0.00019752456577572884</v>
      </c>
      <c r="G22" s="560">
        <f>Maternity!I68</f>
        <v>0.00018392524062588314</v>
      </c>
      <c r="H22" s="560">
        <f>Maternity!J68</f>
        <v>0.00017112860229239084</v>
      </c>
      <c r="I22" s="561">
        <f>Maternity!K68</f>
        <v>0.0001592950076068993</v>
      </c>
    </row>
    <row r="23" spans="1:9" ht="15">
      <c r="A23" s="250" t="s">
        <v>117</v>
      </c>
      <c r="B23" s="251"/>
      <c r="C23" s="251"/>
      <c r="D23" s="251"/>
      <c r="E23" s="251"/>
      <c r="F23" s="251"/>
      <c r="G23" s="251"/>
      <c r="H23" s="251"/>
      <c r="I23" s="252"/>
    </row>
    <row r="24" spans="1:9" ht="29.25" customHeight="1">
      <c r="A24" s="570" t="str">
        <f>HIV!A10</f>
        <v>Scenario 1: Testing (one VCT) for most-at-risk people, check-up (two viral loads and CD4 counts) for all HIV positive people, ARV treatment (line 1 or line 2) for those who are HIV positive and in need of treatment</v>
      </c>
      <c r="B24" s="554">
        <f>HIV!D44</f>
        <v>0</v>
      </c>
      <c r="C24" s="554">
        <f>HIV!E44</f>
        <v>4.0831545047797066E-05</v>
      </c>
      <c r="D24" s="554">
        <f>HIV!F44</f>
        <v>8.64836341109522E-05</v>
      </c>
      <c r="E24" s="554">
        <f>HIV!G44</f>
        <v>0.00013751939210440505</v>
      </c>
      <c r="F24" s="554">
        <f>HIV!H44</f>
        <v>0.00019459876549192683</v>
      </c>
      <c r="G24" s="554">
        <f>HIV!I44</f>
        <v>0.0002584620372089187</v>
      </c>
      <c r="H24" s="554">
        <f>HIV!J44</f>
        <v>0.00027496702820290386</v>
      </c>
      <c r="I24" s="555">
        <f>HIV!K44</f>
        <v>0.000292837025411336</v>
      </c>
    </row>
    <row r="25" spans="1:9" ht="29.25" customHeight="1">
      <c r="A25" s="562" t="str">
        <f>HIV!A47</f>
        <v>Scenario 2: HIV testing (one VCT) and MTCT prevention, syphilis testing, and antibiotic treatment for all pregnant women</v>
      </c>
      <c r="B25" s="565">
        <f>HIV!D79</f>
        <v>0</v>
      </c>
      <c r="C25" s="565">
        <f>HIV!E79</f>
        <v>4.321581521636489E-06</v>
      </c>
      <c r="D25" s="565">
        <f>HIV!F79</f>
        <v>8.329504214375053E-06</v>
      </c>
      <c r="E25" s="565">
        <f>HIV!G79</f>
        <v>1.2042471717727141E-05</v>
      </c>
      <c r="F25" s="565">
        <f>HIV!H79</f>
        <v>1.5358353244257448E-05</v>
      </c>
      <c r="G25" s="565">
        <f>HIV!I79</f>
        <v>1.8364409835082496E-05</v>
      </c>
      <c r="H25" s="565">
        <f>HIV!J79</f>
        <v>1.756937736972065E-05</v>
      </c>
      <c r="I25" s="566">
        <f>HIV!K79</f>
        <v>1.680445655032183E-05</v>
      </c>
    </row>
    <row r="26" spans="1:9" ht="29.25" customHeight="1">
      <c r="A26" s="567" t="str">
        <f>HIV!A82</f>
        <v>Scenario 3: VCT twice per year for sexually active population, check-up (two viral loads and CD4 counts) for all HIV positive people, ARV treatment for those who are HIV positive and in need of treatment, including transportation costs</v>
      </c>
      <c r="B26" s="568">
        <f>HIV!D121</f>
        <v>0</v>
      </c>
      <c r="C26" s="568">
        <f>HIV!E121</f>
        <v>0.0005562550751631954</v>
      </c>
      <c r="D26" s="568">
        <f>HIV!F121</f>
        <v>0.0010778939383289405</v>
      </c>
      <c r="E26" s="568">
        <f>HIV!G121</f>
        <v>0.001566676121032888</v>
      </c>
      <c r="F26" s="568">
        <f>HIV!H121</f>
        <v>0.0020248050038300315</v>
      </c>
      <c r="G26" s="568">
        <f>HIV!I121</f>
        <v>0.002454579715227545</v>
      </c>
      <c r="H26" s="568">
        <f>HIV!J121</f>
        <v>0.0023826241426410503</v>
      </c>
      <c r="I26" s="569">
        <f>HIV!K121</f>
        <v>0.0023139689755800837</v>
      </c>
    </row>
    <row r="27" spans="1:9" ht="15">
      <c r="A27" s="314"/>
      <c r="B27" s="242"/>
      <c r="C27" s="242"/>
      <c r="D27" s="242"/>
      <c r="E27" s="242"/>
      <c r="F27" s="242"/>
      <c r="G27" s="242"/>
      <c r="H27" s="242"/>
      <c r="I27" s="243"/>
    </row>
    <row r="28" spans="1:9" ht="15">
      <c r="A28" s="244" t="s">
        <v>126</v>
      </c>
      <c r="B28" s="245"/>
      <c r="C28" s="245"/>
      <c r="D28" s="245"/>
      <c r="E28" s="245"/>
      <c r="F28" s="245"/>
      <c r="G28" s="245"/>
      <c r="H28" s="245"/>
      <c r="I28" s="246"/>
    </row>
    <row r="29" spans="1:9" ht="15">
      <c r="A29" s="574" t="s">
        <v>116</v>
      </c>
      <c r="B29" s="575">
        <f aca="true" t="shared" si="0" ref="B29">B4</f>
        <v>0</v>
      </c>
      <c r="C29" s="575">
        <f aca="true" t="shared" si="1" ref="C29:I29">C4</f>
        <v>0.00015332805257591665</v>
      </c>
      <c r="D29" s="575">
        <f t="shared" si="1"/>
        <v>0.00028575112243467237</v>
      </c>
      <c r="E29" s="575">
        <f t="shared" si="1"/>
        <v>0.0003987082586213249</v>
      </c>
      <c r="F29" s="575">
        <f t="shared" si="1"/>
        <v>0.0004952282123317816</v>
      </c>
      <c r="G29" s="575">
        <f t="shared" si="1"/>
        <v>0.00046047488782506195</v>
      </c>
      <c r="H29" s="575">
        <f t="shared" si="1"/>
        <v>0.0004288517883073375</v>
      </c>
      <c r="I29" s="576">
        <f t="shared" si="1"/>
        <v>0.00039848268327304835</v>
      </c>
    </row>
    <row r="30" spans="1:9" ht="15">
      <c r="A30" s="574" t="s">
        <v>17</v>
      </c>
      <c r="B30" s="575">
        <f>B9</f>
        <v>0</v>
      </c>
      <c r="C30" s="575">
        <f aca="true" t="shared" si="2" ref="C30:I30">C9</f>
        <v>0.0001008667414134007</v>
      </c>
      <c r="D30" s="575">
        <f t="shared" si="2"/>
        <v>0.0001783951091773396</v>
      </c>
      <c r="E30" s="575">
        <f t="shared" si="2"/>
        <v>0.00023602069803317085</v>
      </c>
      <c r="F30" s="575">
        <f t="shared" si="2"/>
        <v>0.00027769666479071956</v>
      </c>
      <c r="G30" s="575">
        <f t="shared" si="2"/>
        <v>0.0002443113645742697</v>
      </c>
      <c r="H30" s="575">
        <f t="shared" si="2"/>
        <v>0.000214812534114998</v>
      </c>
      <c r="I30" s="576">
        <f t="shared" si="2"/>
        <v>0.00018828074764540208</v>
      </c>
    </row>
    <row r="31" spans="1:9" ht="15">
      <c r="A31" s="574" t="s">
        <v>145</v>
      </c>
      <c r="B31" s="575">
        <f>B12+B13</f>
        <v>0</v>
      </c>
      <c r="C31" s="575">
        <f aca="true" t="shared" si="3" ref="C31:I31">C12+C13</f>
        <v>0.0013121259067301785</v>
      </c>
      <c r="D31" s="575">
        <f t="shared" si="3"/>
        <v>0.0024903322809785803</v>
      </c>
      <c r="E31" s="575">
        <f t="shared" si="3"/>
        <v>0.0035363818070544154</v>
      </c>
      <c r="F31" s="575">
        <f t="shared" si="3"/>
        <v>0.0034480187489301017</v>
      </c>
      <c r="G31" s="575">
        <f t="shared" si="3"/>
        <v>0.0032609293832765443</v>
      </c>
      <c r="H31" s="575">
        <f t="shared" si="3"/>
        <v>0.0030860269383775007</v>
      </c>
      <c r="I31" s="576">
        <f t="shared" si="3"/>
        <v>0.002915739209400401</v>
      </c>
    </row>
    <row r="32" spans="1:9" ht="15">
      <c r="A32" s="574" t="s">
        <v>118</v>
      </c>
      <c r="B32" s="575">
        <f aca="true" t="shared" si="4" ref="B32">B16</f>
        <v>0</v>
      </c>
      <c r="C32" s="575">
        <f aca="true" t="shared" si="5" ref="C32:I32">C16</f>
        <v>0.0005597507241096117</v>
      </c>
      <c r="D32" s="575">
        <f t="shared" si="5"/>
        <v>0.0013668361246091866</v>
      </c>
      <c r="E32" s="575">
        <f t="shared" si="5"/>
        <v>0.002136890839815251</v>
      </c>
      <c r="F32" s="575">
        <f t="shared" si="5"/>
        <v>0.0028710974313991507</v>
      </c>
      <c r="G32" s="575">
        <f t="shared" si="5"/>
        <v>0.0035703366788473363</v>
      </c>
      <c r="H32" s="575">
        <f t="shared" si="5"/>
        <v>0.003491206771237648</v>
      </c>
      <c r="I32" s="576">
        <f t="shared" si="5"/>
        <v>0.0034147080493207105</v>
      </c>
    </row>
    <row r="33" spans="1:9" ht="15">
      <c r="A33" s="574" t="s">
        <v>119</v>
      </c>
      <c r="B33" s="575">
        <f>B21</f>
        <v>0</v>
      </c>
      <c r="C33" s="575">
        <f aca="true" t="shared" si="6" ref="C33:I33">C21</f>
        <v>4.0170505545308574E-05</v>
      </c>
      <c r="D33" s="575">
        <f t="shared" si="6"/>
        <v>7.536958947262885E-05</v>
      </c>
      <c r="E33" s="575">
        <f t="shared" si="6"/>
        <v>0.00010607098405010993</v>
      </c>
      <c r="F33" s="575">
        <f t="shared" si="6"/>
        <v>0.00013168304385048588</v>
      </c>
      <c r="G33" s="575">
        <f t="shared" si="6"/>
        <v>0.00012261682708392208</v>
      </c>
      <c r="H33" s="575">
        <f t="shared" si="6"/>
        <v>0.00011408573486159392</v>
      </c>
      <c r="I33" s="576">
        <f t="shared" si="6"/>
        <v>0.00010619667173793288</v>
      </c>
    </row>
    <row r="34" spans="1:9" ht="15">
      <c r="A34" s="574" t="s">
        <v>117</v>
      </c>
      <c r="B34" s="575">
        <f>B24+B25</f>
        <v>0</v>
      </c>
      <c r="C34" s="575">
        <f aca="true" t="shared" si="7" ref="C34:I34">C24+C25</f>
        <v>4.5153126569433556E-05</v>
      </c>
      <c r="D34" s="575">
        <f t="shared" si="7"/>
        <v>9.481313832532725E-05</v>
      </c>
      <c r="E34" s="575">
        <f t="shared" si="7"/>
        <v>0.0001495618638221322</v>
      </c>
      <c r="F34" s="575">
        <f t="shared" si="7"/>
        <v>0.00020995711873618428</v>
      </c>
      <c r="G34" s="575">
        <f t="shared" si="7"/>
        <v>0.0002768264470440012</v>
      </c>
      <c r="H34" s="575">
        <f t="shared" si="7"/>
        <v>0.0002925364055726245</v>
      </c>
      <c r="I34" s="576">
        <f t="shared" si="7"/>
        <v>0.00030964148196165785</v>
      </c>
    </row>
    <row r="35" spans="1:9" ht="15">
      <c r="A35" s="241" t="s">
        <v>15</v>
      </c>
      <c r="B35" s="240">
        <f aca="true" t="shared" si="8" ref="B35:I35">SUM(B29:B34)</f>
        <v>0</v>
      </c>
      <c r="C35" s="240">
        <f t="shared" si="8"/>
        <v>0.0022113950569438495</v>
      </c>
      <c r="D35" s="240">
        <f t="shared" si="8"/>
        <v>0.004491497364997735</v>
      </c>
      <c r="E35" s="240">
        <f t="shared" si="8"/>
        <v>0.006563634451396404</v>
      </c>
      <c r="F35" s="240">
        <f t="shared" si="8"/>
        <v>0.007433681220038424</v>
      </c>
      <c r="G35" s="240">
        <f t="shared" si="8"/>
        <v>0.007935495588651136</v>
      </c>
      <c r="H35" s="240">
        <f t="shared" si="8"/>
        <v>0.007627520172471702</v>
      </c>
      <c r="I35" s="240">
        <f t="shared" si="8"/>
        <v>0.007333048843339153</v>
      </c>
    </row>
    <row r="36" spans="1:9" ht="15">
      <c r="A36" s="247" t="s">
        <v>127</v>
      </c>
      <c r="B36" s="245"/>
      <c r="C36" s="245"/>
      <c r="D36" s="245"/>
      <c r="E36" s="245"/>
      <c r="F36" s="245"/>
      <c r="G36" s="245"/>
      <c r="H36" s="245"/>
      <c r="I36" s="246"/>
    </row>
    <row r="37" spans="1:9" ht="15">
      <c r="A37" s="574" t="s">
        <v>116</v>
      </c>
      <c r="B37" s="575">
        <f>B5</f>
        <v>0</v>
      </c>
      <c r="C37" s="575">
        <f aca="true" t="shared" si="9" ref="C37:I37">C5</f>
        <v>0.001965035077757004</v>
      </c>
      <c r="D37" s="575">
        <f t="shared" si="9"/>
        <v>0.0038567200368727597</v>
      </c>
      <c r="E37" s="575">
        <f t="shared" si="9"/>
        <v>0.005662706553693266</v>
      </c>
      <c r="F37" s="575">
        <f t="shared" si="9"/>
        <v>0.0073969269481671185</v>
      </c>
      <c r="G37" s="575">
        <f t="shared" si="9"/>
        <v>0.007230014157710468</v>
      </c>
      <c r="H37" s="575">
        <f t="shared" si="9"/>
        <v>0.007076233182939817</v>
      </c>
      <c r="I37" s="576">
        <f t="shared" si="9"/>
        <v>0.006908748988008563</v>
      </c>
    </row>
    <row r="38" spans="1:9" ht="15">
      <c r="A38" s="574" t="s">
        <v>17</v>
      </c>
      <c r="B38" s="575">
        <f>B8+B10</f>
        <v>0</v>
      </c>
      <c r="C38" s="575">
        <f aca="true" t="shared" si="10" ref="C38:I38">C8+C10</f>
        <v>0.0013124516987885492</v>
      </c>
      <c r="D38" s="575">
        <f t="shared" si="10"/>
        <v>0.002293509421076072</v>
      </c>
      <c r="E38" s="575">
        <f t="shared" si="10"/>
        <v>0.0032052516267444073</v>
      </c>
      <c r="F38" s="575">
        <f t="shared" si="10"/>
        <v>0.00398346596582219</v>
      </c>
      <c r="G38" s="575">
        <f t="shared" si="10"/>
        <v>0.003715301909476938</v>
      </c>
      <c r="H38" s="575">
        <f t="shared" si="10"/>
        <v>0.0034658568154615306</v>
      </c>
      <c r="I38" s="576">
        <f t="shared" si="10"/>
        <v>0.0032356361209114203</v>
      </c>
    </row>
    <row r="39" spans="1:9" ht="15">
      <c r="A39" s="574" t="s">
        <v>145</v>
      </c>
      <c r="B39" s="575">
        <f aca="true" t="shared" si="11" ref="B39">B12+B13+B14</f>
        <v>0</v>
      </c>
      <c r="C39" s="575">
        <f aca="true" t="shared" si="12" ref="C39:I39">C12+C13+C14</f>
        <v>0.009895975185815139</v>
      </c>
      <c r="D39" s="575">
        <f t="shared" si="12"/>
        <v>0.010896557295440434</v>
      </c>
      <c r="E39" s="575">
        <f t="shared" si="12"/>
        <v>0.011754818315554534</v>
      </c>
      <c r="F39" s="575">
        <f t="shared" si="12"/>
        <v>0.011480192851577156</v>
      </c>
      <c r="G39" s="575">
        <f t="shared" si="12"/>
        <v>0.011100239117791198</v>
      </c>
      <c r="H39" s="575">
        <f t="shared" si="12"/>
        <v>0.010737760465280397</v>
      </c>
      <c r="I39" s="576">
        <f t="shared" si="12"/>
        <v>0.010372836858962006</v>
      </c>
    </row>
    <row r="40" spans="1:9" ht="15">
      <c r="A40" s="574" t="s">
        <v>118</v>
      </c>
      <c r="B40" s="575">
        <f>B17+B18</f>
        <v>0</v>
      </c>
      <c r="C40" s="575">
        <f aca="true" t="shared" si="13" ref="C40:I40">C17+C18</f>
        <v>0.0018917395944096096</v>
      </c>
      <c r="D40" s="575">
        <f t="shared" si="13"/>
        <v>0.004005207898670869</v>
      </c>
      <c r="E40" s="575">
        <f t="shared" si="13"/>
        <v>0.006049207154471577</v>
      </c>
      <c r="F40" s="575">
        <f t="shared" si="13"/>
        <v>0.008020247568963804</v>
      </c>
      <c r="G40" s="575">
        <f t="shared" si="13"/>
        <v>0.00991615026894158</v>
      </c>
      <c r="H40" s="575">
        <f t="shared" si="13"/>
        <v>0.009739067421894586</v>
      </c>
      <c r="I40" s="576">
        <f t="shared" si="13"/>
        <v>0.00956412533161759</v>
      </c>
    </row>
    <row r="41" spans="1:9" ht="15">
      <c r="A41" s="574" t="s">
        <v>119</v>
      </c>
      <c r="B41" s="575">
        <f>B22</f>
        <v>0</v>
      </c>
      <c r="C41" s="575">
        <f aca="true" t="shared" si="14" ref="C41:I41">C22</f>
        <v>6.025575831796287E-05</v>
      </c>
      <c r="D41" s="575">
        <f t="shared" si="14"/>
        <v>0.00011305438420894327</v>
      </c>
      <c r="E41" s="575">
        <f t="shared" si="14"/>
        <v>0.0001591064760751649</v>
      </c>
      <c r="F41" s="575">
        <f t="shared" si="14"/>
        <v>0.00019752456577572884</v>
      </c>
      <c r="G41" s="575">
        <f t="shared" si="14"/>
        <v>0.00018392524062588314</v>
      </c>
      <c r="H41" s="575">
        <f t="shared" si="14"/>
        <v>0.00017112860229239084</v>
      </c>
      <c r="I41" s="576">
        <f t="shared" si="14"/>
        <v>0.0001592950076068993</v>
      </c>
    </row>
    <row r="42" spans="1:9" ht="15">
      <c r="A42" s="574" t="s">
        <v>117</v>
      </c>
      <c r="B42" s="575">
        <f aca="true" t="shared" si="15" ref="B42">B25+B26</f>
        <v>0</v>
      </c>
      <c r="C42" s="575">
        <f aca="true" t="shared" si="16" ref="C42:I42">C25+C26</f>
        <v>0.0005605766566848319</v>
      </c>
      <c r="D42" s="575">
        <f t="shared" si="16"/>
        <v>0.0010862234425433155</v>
      </c>
      <c r="E42" s="575">
        <f t="shared" si="16"/>
        <v>0.0015787185927506153</v>
      </c>
      <c r="F42" s="575">
        <f t="shared" si="16"/>
        <v>0.0020401633570742888</v>
      </c>
      <c r="G42" s="575">
        <f t="shared" si="16"/>
        <v>0.0024729441250626273</v>
      </c>
      <c r="H42" s="575">
        <f t="shared" si="16"/>
        <v>0.002400193520010771</v>
      </c>
      <c r="I42" s="576">
        <f t="shared" si="16"/>
        <v>0.0023307734321304056</v>
      </c>
    </row>
    <row r="43" spans="1:9" ht="15">
      <c r="A43" s="241" t="s">
        <v>15</v>
      </c>
      <c r="B43" s="133">
        <f aca="true" t="shared" si="17" ref="B43:I43">SUM(B37:B42)</f>
        <v>0</v>
      </c>
      <c r="C43" s="133">
        <f t="shared" si="17"/>
        <v>0.015686033971773098</v>
      </c>
      <c r="D43" s="133">
        <f t="shared" si="17"/>
        <v>0.02225127247881239</v>
      </c>
      <c r="E43" s="133">
        <f t="shared" si="17"/>
        <v>0.028409808719289564</v>
      </c>
      <c r="F43" s="133">
        <f t="shared" si="17"/>
        <v>0.03311852125738029</v>
      </c>
      <c r="G43" s="133">
        <f t="shared" si="17"/>
        <v>0.03461857481960869</v>
      </c>
      <c r="H43" s="133">
        <f t="shared" si="17"/>
        <v>0.03359024000787949</v>
      </c>
      <c r="I43" s="322">
        <f t="shared" si="17"/>
        <v>0.032571415739236886</v>
      </c>
    </row>
    <row r="45" spans="2:17" ht="15">
      <c r="B45" s="287">
        <f>B2</f>
        <v>2013</v>
      </c>
      <c r="C45" s="288"/>
      <c r="D45" s="288">
        <f>C2</f>
        <v>2014</v>
      </c>
      <c r="E45" s="288"/>
      <c r="F45" s="288">
        <f>D2</f>
        <v>2015</v>
      </c>
      <c r="G45" s="288"/>
      <c r="H45" s="288">
        <f>E2</f>
        <v>2016</v>
      </c>
      <c r="I45" s="288"/>
      <c r="J45" s="288">
        <f>F2</f>
        <v>2017</v>
      </c>
      <c r="K45" s="288"/>
      <c r="L45" s="288">
        <f>G2</f>
        <v>2018</v>
      </c>
      <c r="M45" s="288"/>
      <c r="N45" s="288">
        <f>H2</f>
        <v>2019</v>
      </c>
      <c r="O45" s="288"/>
      <c r="P45" s="288">
        <f>I2</f>
        <v>2020</v>
      </c>
      <c r="Q45" s="289"/>
    </row>
    <row r="46" spans="2:21" ht="15">
      <c r="B46" s="101" t="s">
        <v>305</v>
      </c>
      <c r="C46" s="105" t="s">
        <v>306</v>
      </c>
      <c r="D46" s="101" t="s">
        <v>305</v>
      </c>
      <c r="E46" s="105" t="s">
        <v>306</v>
      </c>
      <c r="F46" s="101" t="s">
        <v>305</v>
      </c>
      <c r="G46" s="105" t="s">
        <v>306</v>
      </c>
      <c r="H46" s="101" t="s">
        <v>305</v>
      </c>
      <c r="I46" s="105" t="s">
        <v>306</v>
      </c>
      <c r="J46" s="101" t="s">
        <v>305</v>
      </c>
      <c r="K46" s="105" t="s">
        <v>306</v>
      </c>
      <c r="L46" s="101" t="s">
        <v>305</v>
      </c>
      <c r="M46" s="105" t="s">
        <v>306</v>
      </c>
      <c r="N46" s="101" t="s">
        <v>305</v>
      </c>
      <c r="O46" s="105" t="s">
        <v>306</v>
      </c>
      <c r="P46" s="101" t="s">
        <v>305</v>
      </c>
      <c r="Q46" s="105" t="s">
        <v>306</v>
      </c>
      <c r="R46" s="77"/>
      <c r="S46" s="77"/>
      <c r="T46" s="77"/>
      <c r="U46" s="77"/>
    </row>
    <row r="47" spans="1:17" ht="15">
      <c r="A47" s="577" t="s">
        <v>116</v>
      </c>
      <c r="B47" s="283">
        <f>B29</f>
        <v>0</v>
      </c>
      <c r="C47" s="284">
        <f>B37</f>
        <v>0</v>
      </c>
      <c r="D47" s="283">
        <f>C29</f>
        <v>0.00015332805257591665</v>
      </c>
      <c r="E47" s="284">
        <f>C37</f>
        <v>0.001965035077757004</v>
      </c>
      <c r="F47" s="283">
        <f>D29</f>
        <v>0.00028575112243467237</v>
      </c>
      <c r="G47" s="284">
        <f>D37</f>
        <v>0.0038567200368727597</v>
      </c>
      <c r="H47" s="283">
        <f>E29</f>
        <v>0.0003987082586213249</v>
      </c>
      <c r="I47" s="284">
        <f>E37</f>
        <v>0.005662706553693266</v>
      </c>
      <c r="J47" s="283">
        <f>F29</f>
        <v>0.0004952282123317816</v>
      </c>
      <c r="K47" s="284">
        <f>F37</f>
        <v>0.0073969269481671185</v>
      </c>
      <c r="L47" s="283">
        <f>G29</f>
        <v>0.00046047488782506195</v>
      </c>
      <c r="M47" s="284">
        <f>G37</f>
        <v>0.007230014157710468</v>
      </c>
      <c r="N47" s="283">
        <f>H29</f>
        <v>0.0004288517883073375</v>
      </c>
      <c r="O47" s="284">
        <f>H37</f>
        <v>0.007076233182939817</v>
      </c>
      <c r="P47" s="283">
        <f>I29</f>
        <v>0.00039848268327304835</v>
      </c>
      <c r="Q47" s="284">
        <f>I37</f>
        <v>0.006908748988008563</v>
      </c>
    </row>
    <row r="48" spans="1:17" ht="15">
      <c r="A48" s="573" t="s">
        <v>17</v>
      </c>
      <c r="B48" s="283">
        <f aca="true" t="shared" si="18" ref="B48:B52">B30</f>
        <v>0</v>
      </c>
      <c r="C48" s="284">
        <f aca="true" t="shared" si="19" ref="C48:C52">B38</f>
        <v>0</v>
      </c>
      <c r="D48" s="283">
        <f aca="true" t="shared" si="20" ref="D48:D52">C30</f>
        <v>0.0001008667414134007</v>
      </c>
      <c r="E48" s="284">
        <f aca="true" t="shared" si="21" ref="E48:E52">C38</f>
        <v>0.0013124516987885492</v>
      </c>
      <c r="F48" s="283">
        <f aca="true" t="shared" si="22" ref="F48:F52">D30</f>
        <v>0.0001783951091773396</v>
      </c>
      <c r="G48" s="284">
        <f aca="true" t="shared" si="23" ref="G48:G52">D38</f>
        <v>0.002293509421076072</v>
      </c>
      <c r="H48" s="283">
        <f aca="true" t="shared" si="24" ref="H48:H52">E30</f>
        <v>0.00023602069803317085</v>
      </c>
      <c r="I48" s="284">
        <f aca="true" t="shared" si="25" ref="I48:I52">E38</f>
        <v>0.0032052516267444073</v>
      </c>
      <c r="J48" s="283">
        <f aca="true" t="shared" si="26" ref="J48:J52">F30</f>
        <v>0.00027769666479071956</v>
      </c>
      <c r="K48" s="284">
        <f aca="true" t="shared" si="27" ref="K48:K52">F38</f>
        <v>0.00398346596582219</v>
      </c>
      <c r="L48" s="283">
        <f aca="true" t="shared" si="28" ref="L48:L52">G30</f>
        <v>0.0002443113645742697</v>
      </c>
      <c r="M48" s="284">
        <f aca="true" t="shared" si="29" ref="M48:M52">G38</f>
        <v>0.003715301909476938</v>
      </c>
      <c r="N48" s="283">
        <f aca="true" t="shared" si="30" ref="N48:N52">H30</f>
        <v>0.000214812534114998</v>
      </c>
      <c r="O48" s="284">
        <f aca="true" t="shared" si="31" ref="O48:O52">H38</f>
        <v>0.0034658568154615306</v>
      </c>
      <c r="P48" s="283">
        <f aca="true" t="shared" si="32" ref="P48:P52">I30</f>
        <v>0.00018828074764540208</v>
      </c>
      <c r="Q48" s="284">
        <f aca="true" t="shared" si="33" ref="Q48:Q52">I38</f>
        <v>0.0032356361209114203</v>
      </c>
    </row>
    <row r="49" spans="1:17" ht="15">
      <c r="A49" s="573" t="s">
        <v>145</v>
      </c>
      <c r="B49" s="283">
        <f t="shared" si="18"/>
        <v>0</v>
      </c>
      <c r="C49" s="284">
        <f t="shared" si="19"/>
        <v>0</v>
      </c>
      <c r="D49" s="283">
        <f t="shared" si="20"/>
        <v>0.0013121259067301785</v>
      </c>
      <c r="E49" s="284">
        <f t="shared" si="21"/>
        <v>0.009895975185815139</v>
      </c>
      <c r="F49" s="283">
        <f t="shared" si="22"/>
        <v>0.0024903322809785803</v>
      </c>
      <c r="G49" s="284">
        <f t="shared" si="23"/>
        <v>0.010896557295440434</v>
      </c>
      <c r="H49" s="283">
        <f t="shared" si="24"/>
        <v>0.0035363818070544154</v>
      </c>
      <c r="I49" s="284">
        <f t="shared" si="25"/>
        <v>0.011754818315554534</v>
      </c>
      <c r="J49" s="283">
        <f t="shared" si="26"/>
        <v>0.0034480187489301017</v>
      </c>
      <c r="K49" s="284">
        <f t="shared" si="27"/>
        <v>0.011480192851577156</v>
      </c>
      <c r="L49" s="283">
        <f t="shared" si="28"/>
        <v>0.0032609293832765443</v>
      </c>
      <c r="M49" s="284">
        <f t="shared" si="29"/>
        <v>0.011100239117791198</v>
      </c>
      <c r="N49" s="283">
        <f t="shared" si="30"/>
        <v>0.0030860269383775007</v>
      </c>
      <c r="O49" s="284">
        <f t="shared" si="31"/>
        <v>0.010737760465280397</v>
      </c>
      <c r="P49" s="283">
        <f t="shared" si="32"/>
        <v>0.002915739209400401</v>
      </c>
      <c r="Q49" s="284">
        <f t="shared" si="33"/>
        <v>0.010372836858962006</v>
      </c>
    </row>
    <row r="50" spans="1:17" ht="15">
      <c r="A50" s="573" t="s">
        <v>118</v>
      </c>
      <c r="B50" s="283">
        <f t="shared" si="18"/>
        <v>0</v>
      </c>
      <c r="C50" s="284">
        <f t="shared" si="19"/>
        <v>0</v>
      </c>
      <c r="D50" s="283">
        <f t="shared" si="20"/>
        <v>0.0005597507241096117</v>
      </c>
      <c r="E50" s="284">
        <f t="shared" si="21"/>
        <v>0.0018917395944096096</v>
      </c>
      <c r="F50" s="283">
        <f t="shared" si="22"/>
        <v>0.0013668361246091866</v>
      </c>
      <c r="G50" s="284">
        <f t="shared" si="23"/>
        <v>0.004005207898670869</v>
      </c>
      <c r="H50" s="283">
        <f t="shared" si="24"/>
        <v>0.002136890839815251</v>
      </c>
      <c r="I50" s="284">
        <f t="shared" si="25"/>
        <v>0.006049207154471577</v>
      </c>
      <c r="J50" s="283">
        <f t="shared" si="26"/>
        <v>0.0028710974313991507</v>
      </c>
      <c r="K50" s="284">
        <f t="shared" si="27"/>
        <v>0.008020247568963804</v>
      </c>
      <c r="L50" s="283">
        <f t="shared" si="28"/>
        <v>0.0035703366788473363</v>
      </c>
      <c r="M50" s="284">
        <f t="shared" si="29"/>
        <v>0.00991615026894158</v>
      </c>
      <c r="N50" s="283">
        <f t="shared" si="30"/>
        <v>0.003491206771237648</v>
      </c>
      <c r="O50" s="284">
        <f t="shared" si="31"/>
        <v>0.009739067421894586</v>
      </c>
      <c r="P50" s="283">
        <f t="shared" si="32"/>
        <v>0.0034147080493207105</v>
      </c>
      <c r="Q50" s="284">
        <f t="shared" si="33"/>
        <v>0.00956412533161759</v>
      </c>
    </row>
    <row r="51" spans="1:17" ht="15">
      <c r="A51" s="573" t="s">
        <v>119</v>
      </c>
      <c r="B51" s="283">
        <f t="shared" si="18"/>
        <v>0</v>
      </c>
      <c r="C51" s="284">
        <f t="shared" si="19"/>
        <v>0</v>
      </c>
      <c r="D51" s="283">
        <f t="shared" si="20"/>
        <v>4.0170505545308574E-05</v>
      </c>
      <c r="E51" s="284">
        <f t="shared" si="21"/>
        <v>6.025575831796287E-05</v>
      </c>
      <c r="F51" s="283">
        <f t="shared" si="22"/>
        <v>7.536958947262885E-05</v>
      </c>
      <c r="G51" s="284">
        <f t="shared" si="23"/>
        <v>0.00011305438420894327</v>
      </c>
      <c r="H51" s="283">
        <f t="shared" si="24"/>
        <v>0.00010607098405010993</v>
      </c>
      <c r="I51" s="284">
        <f t="shared" si="25"/>
        <v>0.0001591064760751649</v>
      </c>
      <c r="J51" s="283">
        <f t="shared" si="26"/>
        <v>0.00013168304385048588</v>
      </c>
      <c r="K51" s="284">
        <f t="shared" si="27"/>
        <v>0.00019752456577572884</v>
      </c>
      <c r="L51" s="283">
        <f t="shared" si="28"/>
        <v>0.00012261682708392208</v>
      </c>
      <c r="M51" s="284">
        <f t="shared" si="29"/>
        <v>0.00018392524062588314</v>
      </c>
      <c r="N51" s="283">
        <f t="shared" si="30"/>
        <v>0.00011408573486159392</v>
      </c>
      <c r="O51" s="284">
        <f t="shared" si="31"/>
        <v>0.00017112860229239084</v>
      </c>
      <c r="P51" s="283">
        <f t="shared" si="32"/>
        <v>0.00010619667173793288</v>
      </c>
      <c r="Q51" s="284">
        <f t="shared" si="33"/>
        <v>0.0001592950076068993</v>
      </c>
    </row>
    <row r="52" spans="1:17" ht="15">
      <c r="A52" s="578" t="s">
        <v>117</v>
      </c>
      <c r="B52" s="285">
        <f t="shared" si="18"/>
        <v>0</v>
      </c>
      <c r="C52" s="286">
        <f t="shared" si="19"/>
        <v>0</v>
      </c>
      <c r="D52" s="285">
        <f t="shared" si="20"/>
        <v>4.5153126569433556E-05</v>
      </c>
      <c r="E52" s="286">
        <f t="shared" si="21"/>
        <v>0.0005605766566848319</v>
      </c>
      <c r="F52" s="285">
        <f t="shared" si="22"/>
        <v>9.481313832532725E-05</v>
      </c>
      <c r="G52" s="286">
        <f t="shared" si="23"/>
        <v>0.0010862234425433155</v>
      </c>
      <c r="H52" s="285">
        <f t="shared" si="24"/>
        <v>0.0001495618638221322</v>
      </c>
      <c r="I52" s="286">
        <f t="shared" si="25"/>
        <v>0.0015787185927506153</v>
      </c>
      <c r="J52" s="285">
        <f t="shared" si="26"/>
        <v>0.00020995711873618428</v>
      </c>
      <c r="K52" s="286">
        <f t="shared" si="27"/>
        <v>0.0020401633570742888</v>
      </c>
      <c r="L52" s="285">
        <f t="shared" si="28"/>
        <v>0.0002768264470440012</v>
      </c>
      <c r="M52" s="286">
        <f t="shared" si="29"/>
        <v>0.0024729441250626273</v>
      </c>
      <c r="N52" s="285">
        <f t="shared" si="30"/>
        <v>0.0002925364055726245</v>
      </c>
      <c r="O52" s="286">
        <f t="shared" si="31"/>
        <v>0.002400193520010771</v>
      </c>
      <c r="P52" s="285">
        <f t="shared" si="32"/>
        <v>0.00030964148196165785</v>
      </c>
      <c r="Q52" s="286">
        <f t="shared" si="33"/>
        <v>0.0023307734321304056</v>
      </c>
    </row>
  </sheetData>
  <printOptions/>
  <pageMargins left="0.75" right="0.75" top="1" bottom="1" header="0.5" footer="0.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tint="-0.3499799966812134"/>
  </sheetPr>
  <dimension ref="A2:S102"/>
  <sheetViews>
    <sheetView workbookViewId="0" topLeftCell="A1"/>
  </sheetViews>
  <sheetFormatPr defaultColWidth="11.421875" defaultRowHeight="15"/>
  <cols>
    <col min="1" max="1" width="40.421875" style="94" customWidth="1"/>
    <col min="2" max="2" width="12.421875" style="94" bestFit="1" customWidth="1"/>
    <col min="3" max="16384" width="11.421875" style="94" customWidth="1"/>
  </cols>
  <sheetData>
    <row r="2" spans="1:12" ht="15">
      <c r="A2" s="531" t="s">
        <v>358</v>
      </c>
      <c r="B2" s="532"/>
      <c r="C2" s="532"/>
      <c r="D2" s="532"/>
      <c r="E2" s="532"/>
      <c r="F2" s="532"/>
      <c r="G2" s="532"/>
      <c r="H2" s="532"/>
      <c r="I2" s="532"/>
      <c r="J2" s="532"/>
      <c r="K2" s="532"/>
      <c r="L2" s="532"/>
    </row>
    <row r="3" ht="15">
      <c r="A3" s="219"/>
    </row>
    <row r="4" ht="15">
      <c r="A4" s="265" t="s">
        <v>239</v>
      </c>
    </row>
    <row r="5" spans="1:12" ht="15">
      <c r="A5" s="534" t="s">
        <v>114</v>
      </c>
      <c r="B5" s="535">
        <v>2001</v>
      </c>
      <c r="C5" s="535">
        <v>2002</v>
      </c>
      <c r="D5" s="535">
        <v>2003</v>
      </c>
      <c r="E5" s="535">
        <v>2004</v>
      </c>
      <c r="F5" s="535">
        <v>2005</v>
      </c>
      <c r="G5" s="535">
        <v>2006</v>
      </c>
      <c r="H5" s="535">
        <v>2007</v>
      </c>
      <c r="I5" s="535">
        <v>2008</v>
      </c>
      <c r="J5" s="535">
        <v>2009</v>
      </c>
      <c r="K5" s="535">
        <v>2010</v>
      </c>
      <c r="L5" s="535">
        <v>2011</v>
      </c>
    </row>
    <row r="6" spans="1:12" ht="15">
      <c r="A6" s="337" t="s">
        <v>202</v>
      </c>
      <c r="B6" s="533">
        <v>3.31</v>
      </c>
      <c r="C6" s="533">
        <v>2.49</v>
      </c>
      <c r="D6" s="533">
        <v>2.23</v>
      </c>
      <c r="E6" s="533">
        <v>2.06</v>
      </c>
      <c r="F6" s="533">
        <v>1.94</v>
      </c>
      <c r="G6" s="533">
        <v>1.58</v>
      </c>
      <c r="H6" s="533">
        <v>1.53</v>
      </c>
      <c r="I6" s="533">
        <v>1.48</v>
      </c>
      <c r="J6" s="533">
        <v>1.53</v>
      </c>
      <c r="K6" s="533">
        <v>1.08</v>
      </c>
      <c r="L6" s="533">
        <v>1.16</v>
      </c>
    </row>
    <row r="7" spans="1:12" ht="15">
      <c r="A7" s="337" t="s">
        <v>203</v>
      </c>
      <c r="B7" s="533">
        <v>3.37</v>
      </c>
      <c r="C7" s="533">
        <v>2.31</v>
      </c>
      <c r="D7" s="533">
        <v>2.1</v>
      </c>
      <c r="E7" s="533">
        <v>2.11</v>
      </c>
      <c r="F7" s="533">
        <v>1.73</v>
      </c>
      <c r="G7" s="533">
        <v>1.45</v>
      </c>
      <c r="H7" s="533">
        <v>1.21</v>
      </c>
      <c r="I7" s="533">
        <v>1.28</v>
      </c>
      <c r="J7" s="533">
        <v>1.45</v>
      </c>
      <c r="K7" s="533">
        <v>1</v>
      </c>
      <c r="L7" s="533">
        <v>0.98</v>
      </c>
    </row>
    <row r="9" ht="15"/>
    <row r="10" ht="15"/>
    <row r="11" ht="15"/>
    <row r="12" ht="15"/>
    <row r="13" ht="15"/>
    <row r="14" ht="15"/>
    <row r="15" ht="15"/>
    <row r="16" ht="15"/>
    <row r="17" ht="15"/>
    <row r="18" ht="15"/>
    <row r="19" ht="15"/>
    <row r="20" ht="15"/>
    <row r="21" ht="15"/>
    <row r="22" ht="15"/>
    <row r="23" ht="15"/>
    <row r="25" spans="1:11" ht="15">
      <c r="A25" s="537" t="s">
        <v>310</v>
      </c>
      <c r="B25" s="192"/>
      <c r="C25" s="192"/>
      <c r="D25" s="192"/>
      <c r="E25" s="192"/>
      <c r="F25" s="192"/>
      <c r="G25" s="192"/>
      <c r="H25" s="192"/>
      <c r="I25" s="192"/>
      <c r="J25" s="192"/>
      <c r="K25" s="192"/>
    </row>
    <row r="26" spans="1:11" ht="15">
      <c r="A26" s="192"/>
      <c r="B26" s="533">
        <v>12</v>
      </c>
      <c r="C26" s="533">
        <v>13</v>
      </c>
      <c r="D26" s="533">
        <v>14</v>
      </c>
      <c r="E26" s="533">
        <v>15</v>
      </c>
      <c r="F26" s="533">
        <v>16</v>
      </c>
      <c r="G26" s="533">
        <v>17</v>
      </c>
      <c r="H26" s="533">
        <v>18</v>
      </c>
      <c r="I26" s="533">
        <v>19</v>
      </c>
      <c r="J26" s="533">
        <v>20</v>
      </c>
      <c r="K26" s="192"/>
    </row>
    <row r="27" spans="1:11" ht="15">
      <c r="A27" s="534" t="s">
        <v>114</v>
      </c>
      <c r="B27" s="535">
        <v>2012</v>
      </c>
      <c r="C27" s="535">
        <v>2013</v>
      </c>
      <c r="D27" s="535">
        <v>2014</v>
      </c>
      <c r="E27" s="535">
        <v>2015</v>
      </c>
      <c r="F27" s="535">
        <v>2016</v>
      </c>
      <c r="G27" s="535">
        <v>2017</v>
      </c>
      <c r="H27" s="535">
        <v>2018</v>
      </c>
      <c r="I27" s="535">
        <v>2019</v>
      </c>
      <c r="J27" s="535">
        <v>2020</v>
      </c>
      <c r="K27" s="192"/>
    </row>
    <row r="28" spans="1:11" ht="15">
      <c r="A28" s="337" t="s">
        <v>202</v>
      </c>
      <c r="B28" s="539">
        <f>-0.86*LN(B26)+3.2216</f>
        <v>1.0845802811823195</v>
      </c>
      <c r="C28" s="539">
        <f aca="true" t="shared" si="0" ref="C28:J28">-0.86*LN(C26)+3.2216</f>
        <v>1.0157435525830785</v>
      </c>
      <c r="D28" s="539">
        <f t="shared" si="0"/>
        <v>0.9520106965308779</v>
      </c>
      <c r="E28" s="539">
        <f t="shared" si="0"/>
        <v>0.8926768270520995</v>
      </c>
      <c r="F28" s="539">
        <f t="shared" si="0"/>
        <v>0.8371736988737881</v>
      </c>
      <c r="G28" s="539">
        <f t="shared" si="0"/>
        <v>0.7850365241116544</v>
      </c>
      <c r="H28" s="539">
        <f t="shared" si="0"/>
        <v>0.7358802882092985</v>
      </c>
      <c r="I28" s="539">
        <f t="shared" si="0"/>
        <v>0.6893824779168614</v>
      </c>
      <c r="J28" s="539">
        <f t="shared" si="0"/>
        <v>0.6452702447435681</v>
      </c>
      <c r="K28" s="192"/>
    </row>
    <row r="29" spans="1:11" ht="15">
      <c r="A29" s="337" t="s">
        <v>203</v>
      </c>
      <c r="B29" s="539">
        <f>-0.927*LN(B26)+3.2008</f>
        <v>0.8972915356465236</v>
      </c>
      <c r="C29" s="539">
        <f aca="true" t="shared" si="1" ref="C29:J29">-0.927*LN(C26)+3.2008</f>
        <v>0.8230919456331556</v>
      </c>
      <c r="D29" s="539">
        <f t="shared" si="1"/>
        <v>0.7543938554466556</v>
      </c>
      <c r="E29" s="539">
        <f t="shared" si="1"/>
        <v>0.6904374635782511</v>
      </c>
      <c r="F29" s="539">
        <f t="shared" si="1"/>
        <v>0.6306102544837229</v>
      </c>
      <c r="G29" s="539">
        <f t="shared" si="1"/>
        <v>0.5744112300598876</v>
      </c>
      <c r="H29" s="539">
        <f t="shared" si="1"/>
        <v>0.5214253804302555</v>
      </c>
      <c r="I29" s="539">
        <f t="shared" si="1"/>
        <v>0.47130506631270963</v>
      </c>
      <c r="J29" s="539">
        <f t="shared" si="1"/>
        <v>0.4237561824154503</v>
      </c>
      <c r="K29" s="192"/>
    </row>
    <row r="30" spans="1:11" ht="15">
      <c r="A30" s="192"/>
      <c r="B30" s="192"/>
      <c r="C30" s="192"/>
      <c r="D30" s="192"/>
      <c r="E30" s="192"/>
      <c r="F30" s="192"/>
      <c r="G30" s="192"/>
      <c r="H30" s="192"/>
      <c r="I30" s="192"/>
      <c r="J30" s="192"/>
      <c r="K30" s="192"/>
    </row>
    <row r="31" spans="1:11" ht="15">
      <c r="A31" s="537" t="s">
        <v>311</v>
      </c>
      <c r="B31" s="192"/>
      <c r="C31" s="192"/>
      <c r="D31" s="192"/>
      <c r="E31" s="192"/>
      <c r="F31" s="192"/>
      <c r="G31" s="192"/>
      <c r="H31" s="192"/>
      <c r="I31" s="192"/>
      <c r="J31" s="192"/>
      <c r="K31" s="192"/>
    </row>
    <row r="32" spans="1:11" ht="15">
      <c r="A32" s="192"/>
      <c r="B32" s="533">
        <v>12</v>
      </c>
      <c r="C32" s="533">
        <v>13</v>
      </c>
      <c r="D32" s="533">
        <v>14</v>
      </c>
      <c r="E32" s="533">
        <v>15</v>
      </c>
      <c r="F32" s="533">
        <v>16</v>
      </c>
      <c r="G32" s="533">
        <v>17</v>
      </c>
      <c r="H32" s="533">
        <v>18</v>
      </c>
      <c r="I32" s="533">
        <v>19</v>
      </c>
      <c r="J32" s="533">
        <v>20</v>
      </c>
      <c r="K32" s="192"/>
    </row>
    <row r="33" spans="1:11" ht="15">
      <c r="A33" s="534" t="s">
        <v>114</v>
      </c>
      <c r="B33" s="535">
        <v>2012</v>
      </c>
      <c r="C33" s="535">
        <v>2013</v>
      </c>
      <c r="D33" s="535">
        <v>2014</v>
      </c>
      <c r="E33" s="535">
        <v>2015</v>
      </c>
      <c r="F33" s="535">
        <v>2016</v>
      </c>
      <c r="G33" s="535">
        <v>2017</v>
      </c>
      <c r="H33" s="535">
        <v>2018</v>
      </c>
      <c r="I33" s="535">
        <v>2019</v>
      </c>
      <c r="J33" s="535">
        <v>2020</v>
      </c>
      <c r="K33" s="192"/>
    </row>
    <row r="34" spans="1:11" ht="15">
      <c r="A34" s="337" t="s">
        <v>202</v>
      </c>
      <c r="B34" s="539">
        <f>MAX(-0.86*LN(B32)+3.2216,0.95)</f>
        <v>1.0845802811823195</v>
      </c>
      <c r="C34" s="539">
        <f aca="true" t="shared" si="2" ref="C34:J34">MAX(-0.86*LN(C32)+3.2216,0.95)</f>
        <v>1.0157435525830785</v>
      </c>
      <c r="D34" s="539">
        <f t="shared" si="2"/>
        <v>0.9520106965308779</v>
      </c>
      <c r="E34" s="539">
        <f t="shared" si="2"/>
        <v>0.95</v>
      </c>
      <c r="F34" s="539">
        <f t="shared" si="2"/>
        <v>0.95</v>
      </c>
      <c r="G34" s="539">
        <f t="shared" si="2"/>
        <v>0.95</v>
      </c>
      <c r="H34" s="539">
        <f t="shared" si="2"/>
        <v>0.95</v>
      </c>
      <c r="I34" s="539">
        <f t="shared" si="2"/>
        <v>0.95</v>
      </c>
      <c r="J34" s="539">
        <f t="shared" si="2"/>
        <v>0.95</v>
      </c>
      <c r="K34" s="192"/>
    </row>
    <row r="35" spans="1:11" ht="15">
      <c r="A35" s="337" t="s">
        <v>203</v>
      </c>
      <c r="B35" s="539">
        <f>MAX(-0.927*LN(B32)+3.2008,0.95)</f>
        <v>0.95</v>
      </c>
      <c r="C35" s="539">
        <f aca="true" t="shared" si="3" ref="C35:J35">MAX(-0.927*LN(C32)+3.2008,0.95)</f>
        <v>0.95</v>
      </c>
      <c r="D35" s="539">
        <f t="shared" si="3"/>
        <v>0.95</v>
      </c>
      <c r="E35" s="539">
        <f t="shared" si="3"/>
        <v>0.95</v>
      </c>
      <c r="F35" s="539">
        <f t="shared" si="3"/>
        <v>0.95</v>
      </c>
      <c r="G35" s="539">
        <f t="shared" si="3"/>
        <v>0.95</v>
      </c>
      <c r="H35" s="539">
        <f t="shared" si="3"/>
        <v>0.95</v>
      </c>
      <c r="I35" s="539">
        <f t="shared" si="3"/>
        <v>0.95</v>
      </c>
      <c r="J35" s="539">
        <f t="shared" si="3"/>
        <v>0.95</v>
      </c>
      <c r="K35" s="192"/>
    </row>
    <row r="36" spans="1:11" ht="15">
      <c r="A36" s="538" t="s">
        <v>312</v>
      </c>
      <c r="B36" s="192"/>
      <c r="C36" s="192"/>
      <c r="D36" s="192"/>
      <c r="E36" s="192"/>
      <c r="F36" s="192"/>
      <c r="G36" s="192"/>
      <c r="H36" s="192"/>
      <c r="I36" s="192"/>
      <c r="J36" s="192"/>
      <c r="K36" s="192"/>
    </row>
    <row r="37" spans="1:11" ht="15">
      <c r="A37" s="538"/>
      <c r="B37" s="192"/>
      <c r="C37" s="192"/>
      <c r="D37" s="192"/>
      <c r="E37" s="192"/>
      <c r="F37" s="192"/>
      <c r="G37" s="192"/>
      <c r="H37" s="192"/>
      <c r="I37" s="192"/>
      <c r="J37" s="192"/>
      <c r="K37" s="192"/>
    </row>
    <row r="38" ht="15">
      <c r="A38" s="265" t="s">
        <v>240</v>
      </c>
    </row>
    <row r="39" spans="1:10" ht="15">
      <c r="A39" s="534" t="s">
        <v>204</v>
      </c>
      <c r="B39" s="543">
        <f>EAP!I21</f>
        <v>20076.556874095582</v>
      </c>
      <c r="C39" s="543">
        <f>EAP!J21</f>
        <v>20174.3880630712</v>
      </c>
      <c r="D39" s="543">
        <f>EAP!K21</f>
        <v>20262.86677472415</v>
      </c>
      <c r="E39" s="543">
        <f>EAP!L21</f>
        <v>20340.425348245208</v>
      </c>
      <c r="F39" s="543">
        <f>EAP!M21</f>
        <v>20406.733262860052</v>
      </c>
      <c r="G39" s="543">
        <f>EAP!N21</f>
        <v>20462.086984316826</v>
      </c>
      <c r="H39" s="543">
        <f>EAP!O21</f>
        <v>20506.311643916524</v>
      </c>
      <c r="I39" s="543">
        <f>EAP!P21</f>
        <v>20539.23129840941</v>
      </c>
      <c r="J39" s="543">
        <f>EAP!Q21</f>
        <v>20560.657363884526</v>
      </c>
    </row>
    <row r="40" spans="1:10" ht="15">
      <c r="A40" s="337" t="s">
        <v>205</v>
      </c>
      <c r="B40" s="540">
        <f>EAP!I36</f>
        <v>17189.2470387395</v>
      </c>
      <c r="C40" s="540">
        <f>EAP!J36</f>
        <v>17253.818741216037</v>
      </c>
      <c r="D40" s="540">
        <f>EAP!K36</f>
        <v>17287.11106947956</v>
      </c>
      <c r="E40" s="540">
        <f>EAP!L36</f>
        <v>17328.37636991678</v>
      </c>
      <c r="F40" s="540">
        <f>EAP!M36</f>
        <v>17336.889401285607</v>
      </c>
      <c r="G40" s="540">
        <f>EAP!N36</f>
        <v>17353.559386385863</v>
      </c>
      <c r="H40" s="540">
        <f>EAP!O36</f>
        <v>17338.038033979414</v>
      </c>
      <c r="I40" s="540">
        <f>EAP!P36</f>
        <v>17331.073109021836</v>
      </c>
      <c r="J40" s="540">
        <f>EAP!Q36</f>
        <v>17292.31007483289</v>
      </c>
    </row>
    <row r="41" spans="1:10" ht="15">
      <c r="A41" s="192"/>
      <c r="B41" s="192"/>
      <c r="C41" s="192"/>
      <c r="D41" s="192"/>
      <c r="E41" s="192"/>
      <c r="F41" s="192"/>
      <c r="G41" s="192"/>
      <c r="H41" s="192"/>
      <c r="I41" s="192"/>
      <c r="J41" s="192"/>
    </row>
    <row r="42" spans="1:10" ht="15">
      <c r="A42" s="537" t="s">
        <v>242</v>
      </c>
      <c r="B42" s="192"/>
      <c r="C42" s="192"/>
      <c r="D42" s="192"/>
      <c r="E42" s="192"/>
      <c r="F42" s="192"/>
      <c r="G42" s="192"/>
      <c r="H42" s="192"/>
      <c r="I42" s="192"/>
      <c r="J42" s="192"/>
    </row>
    <row r="43" spans="1:10" ht="15">
      <c r="A43" s="534" t="s">
        <v>114</v>
      </c>
      <c r="B43" s="544">
        <f>(B34*B39+B35*B40)/(B39+B40)</f>
        <v>1.0225037000572534</v>
      </c>
      <c r="C43" s="544">
        <f aca="true" t="shared" si="4" ref="C43:J43">(C34*C39+C35*C40)/(C39+C40)</f>
        <v>0.9854368016985527</v>
      </c>
      <c r="D43" s="544">
        <f t="shared" si="4"/>
        <v>0.9510850199725448</v>
      </c>
      <c r="E43" s="544">
        <f t="shared" si="4"/>
        <v>0.95</v>
      </c>
      <c r="F43" s="544">
        <f t="shared" si="4"/>
        <v>0.95</v>
      </c>
      <c r="G43" s="544">
        <f t="shared" si="4"/>
        <v>0.9500000000000001</v>
      </c>
      <c r="H43" s="544">
        <f t="shared" si="4"/>
        <v>0.95</v>
      </c>
      <c r="I43" s="544">
        <f t="shared" si="4"/>
        <v>0.9499999999999998</v>
      </c>
      <c r="J43" s="544">
        <f t="shared" si="4"/>
        <v>0.95</v>
      </c>
    </row>
    <row r="44" spans="1:10" ht="15">
      <c r="A44" s="192"/>
      <c r="B44" s="192"/>
      <c r="C44" s="192"/>
      <c r="D44" s="192"/>
      <c r="E44" s="192"/>
      <c r="F44" s="192"/>
      <c r="G44" s="192"/>
      <c r="H44" s="192"/>
      <c r="I44" s="192"/>
      <c r="J44" s="192"/>
    </row>
    <row r="45" spans="1:10" ht="15">
      <c r="A45" s="537" t="s">
        <v>243</v>
      </c>
      <c r="B45" s="192"/>
      <c r="C45" s="192"/>
      <c r="D45" s="192"/>
      <c r="E45" s="192"/>
      <c r="F45" s="192"/>
      <c r="G45" s="192"/>
      <c r="H45" s="192"/>
      <c r="I45" s="192"/>
      <c r="J45" s="192"/>
    </row>
    <row r="46" spans="1:17" ht="15">
      <c r="A46" s="534"/>
      <c r="B46" s="535">
        <v>2005</v>
      </c>
      <c r="C46" s="535">
        <v>2006</v>
      </c>
      <c r="D46" s="535">
        <v>2007</v>
      </c>
      <c r="E46" s="535">
        <v>2008</v>
      </c>
      <c r="F46" s="535">
        <v>2009</v>
      </c>
      <c r="G46" s="535">
        <v>2010</v>
      </c>
      <c r="H46" s="535">
        <v>2011</v>
      </c>
      <c r="I46" s="535">
        <v>2012</v>
      </c>
      <c r="J46" s="535">
        <v>2013</v>
      </c>
      <c r="K46" s="535">
        <v>2014</v>
      </c>
      <c r="L46" s="535">
        <v>2015</v>
      </c>
      <c r="M46" s="535">
        <v>2016</v>
      </c>
      <c r="N46" s="535">
        <v>2017</v>
      </c>
      <c r="O46" s="535">
        <v>2018</v>
      </c>
      <c r="P46" s="535">
        <v>2019</v>
      </c>
      <c r="Q46" s="535">
        <v>2020</v>
      </c>
    </row>
    <row r="47" spans="1:17" ht="15">
      <c r="A47" s="337" t="s">
        <v>244</v>
      </c>
      <c r="B47" s="338">
        <f>F6*EAP!B21/100</f>
        <v>370.1462343526554</v>
      </c>
      <c r="C47" s="338">
        <f>G6*EAP!C21/100</f>
        <v>303.00294878198025</v>
      </c>
      <c r="D47" s="338">
        <f>H6*EAP!D21/100</f>
        <v>298.4523226371231</v>
      </c>
      <c r="E47" s="338">
        <f>I6*EAP!E21/100</f>
        <v>291.37599387903714</v>
      </c>
      <c r="F47" s="338">
        <f>J6*EAP!F21/100</f>
        <v>303.7863932161744</v>
      </c>
      <c r="G47" s="338">
        <f>K6*EAP!G21/100</f>
        <v>214.49852445007605</v>
      </c>
      <c r="H47" s="338">
        <f>L6*EAP!H21/100</f>
        <v>231.66919803753342</v>
      </c>
      <c r="I47" s="542">
        <f>B34*EAP!I21/100</f>
        <v>217.74637699679417</v>
      </c>
      <c r="J47" s="542">
        <f>C34*EAP!J21/100</f>
        <v>204.92004602373592</v>
      </c>
      <c r="K47" s="542">
        <f>D34*EAP!K21/100</f>
        <v>192.9046591191752</v>
      </c>
      <c r="L47" s="542">
        <f>E34*EAP!L21/100</f>
        <v>193.2340408083295</v>
      </c>
      <c r="M47" s="542">
        <f>F34*EAP!M21/100</f>
        <v>193.86396599717048</v>
      </c>
      <c r="N47" s="542">
        <f>G34*EAP!N21/100</f>
        <v>194.38982635100984</v>
      </c>
      <c r="O47" s="542">
        <f>H34*EAP!O21/100</f>
        <v>194.80996061720697</v>
      </c>
      <c r="P47" s="542">
        <f>I34*EAP!P21/100</f>
        <v>195.12269733488938</v>
      </c>
      <c r="Q47" s="542">
        <f>J34*EAP!Q21/100</f>
        <v>195.326244956903</v>
      </c>
    </row>
    <row r="48" spans="1:17" ht="15">
      <c r="A48" s="337" t="s">
        <v>245</v>
      </c>
      <c r="B48" s="542">
        <f>F7*EAP!B36/100</f>
        <v>281.24270459103934</v>
      </c>
      <c r="C48" s="542">
        <f>G7*EAP!C36/100</f>
        <v>233.81688295036642</v>
      </c>
      <c r="D48" s="542">
        <f>H7*EAP!D36/100</f>
        <v>199.9068141616622</v>
      </c>
      <c r="E48" s="542">
        <f>I7*EAP!E36/100</f>
        <v>214.79808311014497</v>
      </c>
      <c r="F48" s="542">
        <f>J7*EAP!F36/100</f>
        <v>246.23576820080322</v>
      </c>
      <c r="G48" s="542">
        <f>K7*EAP!G36/100</f>
        <v>170.32283131587502</v>
      </c>
      <c r="H48" s="542">
        <f>L7*EAP!H36/100</f>
        <v>167.72841482006152</v>
      </c>
      <c r="I48" s="542">
        <f>B35*EAP!I36/100</f>
        <v>163.29784686802523</v>
      </c>
      <c r="J48" s="542">
        <f>C35*EAP!J36/100</f>
        <v>163.91127804155235</v>
      </c>
      <c r="K48" s="542">
        <f>D35*EAP!K36/100</f>
        <v>164.22755516005583</v>
      </c>
      <c r="L48" s="542">
        <f>E35*EAP!L36/100</f>
        <v>164.6195755142094</v>
      </c>
      <c r="M48" s="542">
        <f>F35*EAP!M36/100</f>
        <v>164.70044931221327</v>
      </c>
      <c r="N48" s="542">
        <f>G35*EAP!N36/100</f>
        <v>164.85881417066568</v>
      </c>
      <c r="O48" s="542">
        <f>H35*EAP!O36/100</f>
        <v>164.7113613228044</v>
      </c>
      <c r="P48" s="542">
        <f>I35*EAP!P36/100</f>
        <v>164.64519453570745</v>
      </c>
      <c r="Q48" s="542">
        <f>J35*EAP!Q36/100</f>
        <v>164.27694571091243</v>
      </c>
    </row>
    <row r="49" spans="1:17" ht="15">
      <c r="A49" s="337" t="s">
        <v>15</v>
      </c>
      <c r="B49" s="338">
        <f>B47+B48</f>
        <v>651.3889389436947</v>
      </c>
      <c r="C49" s="338">
        <f aca="true" t="shared" si="5" ref="C49:Q49">C47+C48</f>
        <v>536.8198317323466</v>
      </c>
      <c r="D49" s="338">
        <f t="shared" si="5"/>
        <v>498.35913679878524</v>
      </c>
      <c r="E49" s="338">
        <f t="shared" si="5"/>
        <v>506.17407698918214</v>
      </c>
      <c r="F49" s="338">
        <f t="shared" si="5"/>
        <v>550.0221614169776</v>
      </c>
      <c r="G49" s="338">
        <f t="shared" si="5"/>
        <v>384.82135576595107</v>
      </c>
      <c r="H49" s="338">
        <f t="shared" si="5"/>
        <v>399.39761285759494</v>
      </c>
      <c r="I49" s="338">
        <f t="shared" si="5"/>
        <v>381.0442238648194</v>
      </c>
      <c r="J49" s="338">
        <f t="shared" si="5"/>
        <v>368.8313240652883</v>
      </c>
      <c r="K49" s="338">
        <f t="shared" si="5"/>
        <v>357.132214279231</v>
      </c>
      <c r="L49" s="338">
        <f t="shared" si="5"/>
        <v>357.85361632253887</v>
      </c>
      <c r="M49" s="338">
        <f t="shared" si="5"/>
        <v>358.5644153093838</v>
      </c>
      <c r="N49" s="338">
        <f t="shared" si="5"/>
        <v>359.2486405216755</v>
      </c>
      <c r="O49" s="338">
        <f t="shared" si="5"/>
        <v>359.5213219400114</v>
      </c>
      <c r="P49" s="338">
        <f t="shared" si="5"/>
        <v>359.7678918705968</v>
      </c>
      <c r="Q49" s="338">
        <f t="shared" si="5"/>
        <v>359.6031906678154</v>
      </c>
    </row>
    <row r="50" spans="1:17" ht="15">
      <c r="A50" s="337"/>
      <c r="B50" s="338"/>
      <c r="C50" s="338"/>
      <c r="D50" s="338"/>
      <c r="E50" s="338"/>
      <c r="F50" s="338"/>
      <c r="G50" s="338"/>
      <c r="H50" s="338"/>
      <c r="I50" s="338"/>
      <c r="J50" s="338"/>
      <c r="K50" s="338"/>
      <c r="L50" s="338"/>
      <c r="M50" s="338"/>
      <c r="N50" s="338"/>
      <c r="O50" s="338"/>
      <c r="P50" s="338"/>
      <c r="Q50" s="338"/>
    </row>
    <row r="51" spans="1:12" ht="15">
      <c r="A51" s="531" t="s">
        <v>359</v>
      </c>
      <c r="B51" s="532"/>
      <c r="C51" s="532"/>
      <c r="D51" s="532"/>
      <c r="E51" s="532"/>
      <c r="F51" s="532"/>
      <c r="G51" s="532"/>
      <c r="H51" s="532"/>
      <c r="I51" s="532"/>
      <c r="J51" s="532"/>
      <c r="K51" s="532"/>
      <c r="L51" s="532"/>
    </row>
    <row r="52" spans="1:11" ht="15">
      <c r="A52" s="266"/>
      <c r="B52" s="266"/>
      <c r="C52" s="266"/>
      <c r="D52" s="266"/>
      <c r="E52" s="266"/>
      <c r="F52" s="266"/>
      <c r="G52" s="266"/>
      <c r="H52" s="266"/>
      <c r="I52" s="266"/>
      <c r="J52" s="266"/>
      <c r="K52" s="266"/>
    </row>
    <row r="53" spans="1:11" s="192" customFormat="1" ht="15">
      <c r="A53" s="267" t="s">
        <v>247</v>
      </c>
      <c r="B53" s="266"/>
      <c r="C53" s="266"/>
      <c r="D53" s="266"/>
      <c r="E53" s="266"/>
      <c r="F53" s="266"/>
      <c r="G53" s="266"/>
      <c r="H53" s="266"/>
      <c r="I53" s="266"/>
      <c r="J53" s="266"/>
      <c r="K53" s="266"/>
    </row>
    <row r="54" spans="1:12" s="192" customFormat="1" ht="15">
      <c r="A54" s="548"/>
      <c r="B54" s="548">
        <v>2001</v>
      </c>
      <c r="C54" s="548">
        <v>2002</v>
      </c>
      <c r="D54" s="548">
        <v>2003</v>
      </c>
      <c r="E54" s="548">
        <v>2004</v>
      </c>
      <c r="F54" s="548">
        <v>2005</v>
      </c>
      <c r="G54" s="548">
        <v>2006</v>
      </c>
      <c r="H54" s="548">
        <v>2007</v>
      </c>
      <c r="I54" s="548">
        <v>2008</v>
      </c>
      <c r="J54" s="548">
        <v>2009</v>
      </c>
      <c r="K54" s="548">
        <v>2010</v>
      </c>
      <c r="L54" s="548">
        <v>2011</v>
      </c>
    </row>
    <row r="55" spans="1:12" s="192" customFormat="1" ht="15">
      <c r="A55" s="545" t="s">
        <v>206</v>
      </c>
      <c r="B55" s="546">
        <v>5.875</v>
      </c>
      <c r="C55" s="546">
        <v>4.86</v>
      </c>
      <c r="D55" s="546">
        <v>4.205</v>
      </c>
      <c r="E55" s="546">
        <v>3.55</v>
      </c>
      <c r="F55" s="546">
        <v>3.275</v>
      </c>
      <c r="G55" s="270">
        <v>3</v>
      </c>
      <c r="H55" s="270">
        <v>2.56</v>
      </c>
      <c r="I55" s="270">
        <v>2.58</v>
      </c>
      <c r="J55" s="270">
        <v>2.27</v>
      </c>
      <c r="K55" s="270">
        <v>2.21</v>
      </c>
      <c r="L55" s="541">
        <v>2.2190034001924244</v>
      </c>
    </row>
    <row r="56" spans="1:12" s="192" customFormat="1" ht="15">
      <c r="A56" s="545" t="s">
        <v>207</v>
      </c>
      <c r="B56" s="546">
        <v>9.51</v>
      </c>
      <c r="C56" s="546">
        <v>7.81</v>
      </c>
      <c r="D56" s="546">
        <v>6.77</v>
      </c>
      <c r="E56" s="546">
        <v>5.73</v>
      </c>
      <c r="F56" s="546">
        <v>5.175000000000001</v>
      </c>
      <c r="G56" s="270">
        <v>4.62</v>
      </c>
      <c r="H56" s="270">
        <v>4.05</v>
      </c>
      <c r="I56" s="270">
        <v>4.34</v>
      </c>
      <c r="J56" s="270">
        <v>4.1</v>
      </c>
      <c r="K56" s="270">
        <v>3.87</v>
      </c>
      <c r="L56" s="541">
        <v>3.706889510664222</v>
      </c>
    </row>
    <row r="57" spans="1:12" s="192" customFormat="1" ht="15">
      <c r="A57" s="545" t="s">
        <v>103</v>
      </c>
      <c r="B57" s="546">
        <v>2.575</v>
      </c>
      <c r="C57" s="546">
        <v>2.27</v>
      </c>
      <c r="D57" s="546">
        <v>2.075</v>
      </c>
      <c r="E57" s="546">
        <v>1.88</v>
      </c>
      <c r="F57" s="546">
        <v>1.9049999999999998</v>
      </c>
      <c r="G57" s="270">
        <v>1.93</v>
      </c>
      <c r="H57" s="270">
        <v>1.87</v>
      </c>
      <c r="I57" s="270">
        <v>2.03</v>
      </c>
      <c r="J57" s="270">
        <v>1.75</v>
      </c>
      <c r="K57" s="270">
        <v>1.67</v>
      </c>
      <c r="L57" s="541">
        <v>1.6981688313942835</v>
      </c>
    </row>
    <row r="58" spans="1:12" s="192" customFormat="1" ht="15">
      <c r="A58" s="123" t="s">
        <v>150</v>
      </c>
      <c r="B58" s="547">
        <f>SUM(B55:B57)</f>
        <v>17.96</v>
      </c>
      <c r="C58" s="547">
        <f aca="true" t="shared" si="6" ref="C58:L58">SUM(C55:C57)</f>
        <v>14.94</v>
      </c>
      <c r="D58" s="547">
        <f t="shared" si="6"/>
        <v>13.05</v>
      </c>
      <c r="E58" s="547">
        <f t="shared" si="6"/>
        <v>11.16</v>
      </c>
      <c r="F58" s="547">
        <f t="shared" si="6"/>
        <v>10.355</v>
      </c>
      <c r="G58" s="547">
        <f t="shared" si="6"/>
        <v>9.55</v>
      </c>
      <c r="H58" s="547">
        <f t="shared" si="6"/>
        <v>8.48</v>
      </c>
      <c r="I58" s="547">
        <f t="shared" si="6"/>
        <v>8.95</v>
      </c>
      <c r="J58" s="547">
        <f t="shared" si="6"/>
        <v>8.12</v>
      </c>
      <c r="K58" s="547">
        <f t="shared" si="6"/>
        <v>7.75</v>
      </c>
      <c r="L58" s="547">
        <f t="shared" si="6"/>
        <v>7.62406174225093</v>
      </c>
    </row>
    <row r="59" spans="2:11" ht="15">
      <c r="B59" s="268"/>
      <c r="K59" s="269"/>
    </row>
    <row r="60" ht="15"/>
    <row r="61" ht="15"/>
    <row r="62" ht="15"/>
    <row r="63" ht="15"/>
    <row r="64" ht="15"/>
    <row r="65" ht="15"/>
    <row r="66" ht="15"/>
    <row r="67" ht="15"/>
    <row r="68" ht="15"/>
    <row r="69" ht="15"/>
    <row r="70" ht="15"/>
    <row r="71" ht="15"/>
    <row r="72" ht="15"/>
    <row r="73" ht="15"/>
    <row r="74" ht="15"/>
    <row r="75" spans="1:19" ht="15">
      <c r="A75" s="267" t="s">
        <v>248</v>
      </c>
      <c r="B75" s="192"/>
      <c r="C75" s="192"/>
      <c r="D75" s="192"/>
      <c r="E75" s="192"/>
      <c r="F75" s="192"/>
      <c r="G75" s="192"/>
      <c r="H75" s="192"/>
      <c r="I75" s="192"/>
      <c r="J75" s="192"/>
      <c r="K75" s="192"/>
      <c r="L75" s="192"/>
      <c r="M75" s="192"/>
      <c r="N75" s="192"/>
      <c r="O75" s="192"/>
      <c r="P75" s="192"/>
      <c r="Q75" s="192"/>
      <c r="R75" s="192"/>
      <c r="S75" s="192"/>
    </row>
    <row r="76" spans="1:19" ht="15">
      <c r="A76" s="192"/>
      <c r="B76" s="192">
        <v>12</v>
      </c>
      <c r="C76" s="192">
        <v>13</v>
      </c>
      <c r="D76" s="192">
        <v>14</v>
      </c>
      <c r="E76" s="192">
        <v>15</v>
      </c>
      <c r="F76" s="192">
        <v>16</v>
      </c>
      <c r="G76" s="192">
        <v>17</v>
      </c>
      <c r="H76" s="192">
        <v>18</v>
      </c>
      <c r="I76" s="192">
        <v>19</v>
      </c>
      <c r="J76" s="192">
        <v>20</v>
      </c>
      <c r="K76" s="192"/>
      <c r="L76" s="192"/>
      <c r="M76" s="192"/>
      <c r="N76" s="192"/>
      <c r="O76" s="192"/>
      <c r="P76" s="192"/>
      <c r="Q76" s="192"/>
      <c r="R76" s="192"/>
      <c r="S76" s="192"/>
    </row>
    <row r="77" spans="1:19" ht="15">
      <c r="A77" s="548"/>
      <c r="B77" s="548">
        <v>2012</v>
      </c>
      <c r="C77" s="548">
        <v>2013</v>
      </c>
      <c r="D77" s="548">
        <v>2014</v>
      </c>
      <c r="E77" s="548">
        <v>2015</v>
      </c>
      <c r="F77" s="548">
        <v>2016</v>
      </c>
      <c r="G77" s="548">
        <v>2017</v>
      </c>
      <c r="H77" s="548">
        <v>2018</v>
      </c>
      <c r="I77" s="548">
        <v>2019</v>
      </c>
      <c r="J77" s="548">
        <v>2020</v>
      </c>
      <c r="K77" s="266"/>
      <c r="L77" s="192"/>
      <c r="M77" s="192"/>
      <c r="N77" s="192"/>
      <c r="O77" s="192"/>
      <c r="P77" s="192"/>
      <c r="Q77" s="192"/>
      <c r="R77" s="192"/>
      <c r="S77" s="192"/>
    </row>
    <row r="78" spans="1:19" ht="15">
      <c r="A78" s="545" t="s">
        <v>206</v>
      </c>
      <c r="B78" s="546">
        <f>-1.611*LN(B76)+5.8902</f>
        <v>1.8870153871915312</v>
      </c>
      <c r="C78" s="546">
        <f aca="true" t="shared" si="7" ref="C78:J78">-1.611*LN(C76)+5.8902</f>
        <v>1.7580665851294643</v>
      </c>
      <c r="D78" s="546">
        <f t="shared" si="7"/>
        <v>1.6386786419898192</v>
      </c>
      <c r="E78" s="546">
        <f t="shared" si="7"/>
        <v>1.52753112602434</v>
      </c>
      <c r="F78" s="546">
        <f t="shared" si="7"/>
        <v>1.4235595684717124</v>
      </c>
      <c r="G78" s="546">
        <f t="shared" si="7"/>
        <v>1.3258933027254356</v>
      </c>
      <c r="H78" s="546">
        <f t="shared" si="7"/>
        <v>1.2338110980292791</v>
      </c>
      <c r="I78" s="546">
        <f t="shared" si="7"/>
        <v>1.1467088045628646</v>
      </c>
      <c r="J78" s="546">
        <f t="shared" si="7"/>
        <v>1.0640753073045213</v>
      </c>
      <c r="K78" s="270"/>
      <c r="L78" s="192"/>
      <c r="M78" s="192"/>
      <c r="N78" s="192"/>
      <c r="O78" s="192"/>
      <c r="P78" s="192"/>
      <c r="Q78" s="192"/>
      <c r="R78" s="192"/>
      <c r="S78" s="192"/>
    </row>
    <row r="79" spans="1:19" ht="15">
      <c r="A79" s="545" t="s">
        <v>207</v>
      </c>
      <c r="B79" s="546">
        <f>-2.494*LN(B76)+9.3936</f>
        <v>3.196242815428726</v>
      </c>
      <c r="C79" s="546">
        <f aca="true" t="shared" si="8" ref="C79:J79">-2.494*LN(C76)+9.3936</f>
        <v>2.996616302490926</v>
      </c>
      <c r="D79" s="546">
        <f t="shared" si="8"/>
        <v>2.8117910199395446</v>
      </c>
      <c r="E79" s="546">
        <f t="shared" si="8"/>
        <v>2.6397227984510865</v>
      </c>
      <c r="F79" s="546">
        <f t="shared" si="8"/>
        <v>2.478763726733985</v>
      </c>
      <c r="G79" s="546">
        <f t="shared" si="8"/>
        <v>2.3275659199237957</v>
      </c>
      <c r="H79" s="546">
        <f t="shared" si="8"/>
        <v>2.1850128358069645</v>
      </c>
      <c r="I79" s="546">
        <f t="shared" si="8"/>
        <v>2.0501691859588966</v>
      </c>
      <c r="J79" s="546">
        <f t="shared" si="8"/>
        <v>1.9222437097563452</v>
      </c>
      <c r="K79" s="270"/>
      <c r="L79" s="192"/>
      <c r="M79" s="192"/>
      <c r="N79" s="192"/>
      <c r="O79" s="192"/>
      <c r="P79" s="192"/>
      <c r="Q79" s="192"/>
      <c r="R79" s="192"/>
      <c r="S79" s="192"/>
    </row>
    <row r="80" spans="1:19" ht="15">
      <c r="A80" s="545" t="s">
        <v>103</v>
      </c>
      <c r="B80" s="541">
        <f>-0.333*LN(B76)+2.4977</f>
        <v>1.670226085620596</v>
      </c>
      <c r="C80" s="541">
        <f aca="true" t="shared" si="9" ref="C80:J80">-0.333*LN(C76)+2.4977</f>
        <v>1.6435718639653083</v>
      </c>
      <c r="D80" s="541">
        <f t="shared" si="9"/>
        <v>1.618893909238119</v>
      </c>
      <c r="E80" s="541">
        <f t="shared" si="9"/>
        <v>1.595919283032964</v>
      </c>
      <c r="F80" s="541">
        <f t="shared" si="9"/>
        <v>1.5744279554941527</v>
      </c>
      <c r="G80" s="541">
        <f t="shared" si="9"/>
        <v>1.5542399564292801</v>
      </c>
      <c r="H80" s="541">
        <f t="shared" si="9"/>
        <v>1.5352062046205772</v>
      </c>
      <c r="I80" s="541">
        <f t="shared" si="9"/>
        <v>1.5172018199375754</v>
      </c>
      <c r="J80" s="541">
        <f t="shared" si="9"/>
        <v>1.500121152906521</v>
      </c>
      <c r="K80" s="270"/>
      <c r="L80" s="192"/>
      <c r="M80" s="192"/>
      <c r="N80" s="192"/>
      <c r="O80" s="192"/>
      <c r="P80" s="192"/>
      <c r="Q80" s="192"/>
      <c r="R80" s="192"/>
      <c r="S80" s="192"/>
    </row>
    <row r="81" spans="1:19" ht="15">
      <c r="A81" s="123" t="s">
        <v>150</v>
      </c>
      <c r="B81" s="547">
        <f>SUM(B78:B80)</f>
        <v>6.753484288240854</v>
      </c>
      <c r="C81" s="547">
        <f aca="true" t="shared" si="10" ref="C81:J81">SUM(C78:C80)</f>
        <v>6.398254751585698</v>
      </c>
      <c r="D81" s="547">
        <f t="shared" si="10"/>
        <v>6.069363571167482</v>
      </c>
      <c r="E81" s="547">
        <f t="shared" si="10"/>
        <v>5.763173207508391</v>
      </c>
      <c r="F81" s="547">
        <f t="shared" si="10"/>
        <v>5.47675125069985</v>
      </c>
      <c r="G81" s="547">
        <f t="shared" si="10"/>
        <v>5.207699179078512</v>
      </c>
      <c r="H81" s="547">
        <f t="shared" si="10"/>
        <v>4.954030138456821</v>
      </c>
      <c r="I81" s="547">
        <f t="shared" si="10"/>
        <v>4.714079810459337</v>
      </c>
      <c r="J81" s="547">
        <f t="shared" si="10"/>
        <v>4.486440169967388</v>
      </c>
      <c r="K81" s="270"/>
      <c r="L81" s="192"/>
      <c r="M81" s="192"/>
      <c r="N81" s="192"/>
      <c r="O81" s="192"/>
      <c r="P81" s="192"/>
      <c r="Q81" s="192"/>
      <c r="R81" s="192"/>
      <c r="S81" s="192"/>
    </row>
    <row r="82" spans="1:19" ht="15">
      <c r="A82" s="192"/>
      <c r="B82" s="192"/>
      <c r="C82" s="192"/>
      <c r="D82" s="192"/>
      <c r="E82" s="192"/>
      <c r="F82" s="192"/>
      <c r="G82" s="192"/>
      <c r="H82" s="192"/>
      <c r="I82" s="192"/>
      <c r="J82" s="192"/>
      <c r="K82" s="192"/>
      <c r="L82" s="192"/>
      <c r="M82" s="192"/>
      <c r="N82" s="192"/>
      <c r="O82" s="192"/>
      <c r="P82" s="192"/>
      <c r="Q82" s="192"/>
      <c r="R82" s="192"/>
      <c r="S82" s="192"/>
    </row>
    <row r="83" spans="1:19" ht="15">
      <c r="A83" s="537" t="s">
        <v>249</v>
      </c>
      <c r="B83" s="192"/>
      <c r="C83" s="192"/>
      <c r="D83" s="192"/>
      <c r="E83" s="192"/>
      <c r="F83" s="192"/>
      <c r="G83" s="192"/>
      <c r="H83" s="192"/>
      <c r="I83" s="192"/>
      <c r="J83" s="192"/>
      <c r="K83" s="192"/>
      <c r="L83" s="192"/>
      <c r="M83" s="192"/>
      <c r="N83" s="192"/>
      <c r="O83" s="192"/>
      <c r="P83" s="192"/>
      <c r="Q83" s="192"/>
      <c r="R83" s="192"/>
      <c r="S83" s="192"/>
    </row>
    <row r="84" spans="1:19" ht="15">
      <c r="A84" s="536"/>
      <c r="B84" s="536">
        <v>2005</v>
      </c>
      <c r="C84" s="536">
        <v>2006</v>
      </c>
      <c r="D84" s="536">
        <v>2007</v>
      </c>
      <c r="E84" s="536">
        <v>2008</v>
      </c>
      <c r="F84" s="536">
        <v>2009</v>
      </c>
      <c r="G84" s="536">
        <v>2010</v>
      </c>
      <c r="H84" s="536">
        <v>2011</v>
      </c>
      <c r="I84" s="536">
        <v>2012</v>
      </c>
      <c r="J84" s="536">
        <v>2013</v>
      </c>
      <c r="K84" s="536">
        <v>2014</v>
      </c>
      <c r="L84" s="536">
        <v>2015</v>
      </c>
      <c r="M84" s="536">
        <v>2016</v>
      </c>
      <c r="N84" s="536">
        <v>2017</v>
      </c>
      <c r="O84" s="536">
        <v>2018</v>
      </c>
      <c r="P84" s="536">
        <v>2019</v>
      </c>
      <c r="Q84" s="536">
        <v>2020</v>
      </c>
      <c r="R84" s="192"/>
      <c r="S84" s="192"/>
    </row>
    <row r="85" spans="1:19" ht="15">
      <c r="A85" s="545" t="s">
        <v>206</v>
      </c>
      <c r="B85" s="338">
        <f>F55*POP!B60/100</f>
        <v>2022.59025275</v>
      </c>
      <c r="C85" s="338">
        <f>G55*POP!C60/100</f>
        <v>1867.46805</v>
      </c>
      <c r="D85" s="338">
        <f>H55*POP!D60/100</f>
        <v>1605.2901376000002</v>
      </c>
      <c r="E85" s="338">
        <f>I55*POP!E60/100</f>
        <v>1628.0636694</v>
      </c>
      <c r="F85" s="338">
        <f>J55*POP!F60/100</f>
        <v>1441.4989639</v>
      </c>
      <c r="G85" s="338">
        <f>K55*POP!G60/100</f>
        <v>1409.7757196501539</v>
      </c>
      <c r="H85" s="338">
        <f>L55*POP!H60/100</f>
        <v>1421.9911056687552</v>
      </c>
      <c r="I85" s="338">
        <f>B78*POP!I60/100</f>
        <v>1214.4866443932333</v>
      </c>
      <c r="J85" s="338">
        <f>C78*POP!J60/100</f>
        <v>1136.1161581448887</v>
      </c>
      <c r="K85" s="338">
        <f>D78*POP!K60/100</f>
        <v>1061.2831776501046</v>
      </c>
      <c r="L85" s="338">
        <f>E78*POP!L60/100</f>
        <v>992.836264713845</v>
      </c>
      <c r="M85" s="338">
        <f>F78*POP!M60/100</f>
        <v>926.8057086259657</v>
      </c>
      <c r="N85" s="338">
        <f>G78*POP!N60/100</f>
        <v>865.7724087792244</v>
      </c>
      <c r="O85" s="338">
        <f>H78*POP!O60/100</f>
        <v>806.4362187774743</v>
      </c>
      <c r="P85" s="338">
        <f>I78*POP!P60/100</f>
        <v>751.2068659210775</v>
      </c>
      <c r="Q85" s="338">
        <f>J78*POP!Q60/100</f>
        <v>697.2875410129528</v>
      </c>
      <c r="R85" s="192"/>
      <c r="S85" s="192"/>
    </row>
    <row r="86" spans="1:19" ht="15">
      <c r="A86" s="545" t="s">
        <v>207</v>
      </c>
      <c r="B86" s="338">
        <f>F56*POP!B60/100</f>
        <v>3196.00139175</v>
      </c>
      <c r="C86" s="338">
        <f>G56*POP!C60/100</f>
        <v>2875.9007970000002</v>
      </c>
      <c r="D86" s="338">
        <f>H56*POP!D60/100</f>
        <v>2539.6191630000003</v>
      </c>
      <c r="E86" s="338">
        <f>I56*POP!E60/100</f>
        <v>2738.6807462</v>
      </c>
      <c r="F86" s="338">
        <f>J56*POP!F60/100</f>
        <v>2603.588437</v>
      </c>
      <c r="G86" s="338">
        <f>K56*POP!G60/100</f>
        <v>2468.702278301401</v>
      </c>
      <c r="H86" s="338">
        <f>L56*POP!H60/100</f>
        <v>2375.464550168887</v>
      </c>
      <c r="I86" s="338">
        <f>B79*POP!I60/100</f>
        <v>2057.107874119319</v>
      </c>
      <c r="J86" s="338">
        <f>C79*POP!J60/100</f>
        <v>1936.504697727148</v>
      </c>
      <c r="K86" s="338">
        <f>D79*POP!K60/100</f>
        <v>1821.0443659080827</v>
      </c>
      <c r="L86" s="338">
        <f>E79*POP!L60/100</f>
        <v>1715.717917915863</v>
      </c>
      <c r="M86" s="338">
        <f>F79*POP!M60/100</f>
        <v>1613.7943386087964</v>
      </c>
      <c r="N86" s="338">
        <f>G79*POP!N60/100</f>
        <v>1519.8374929133715</v>
      </c>
      <c r="O86" s="338">
        <f>H79*POP!O60/100</f>
        <v>1428.1550004720411</v>
      </c>
      <c r="P86" s="338">
        <f>I79*POP!P60/100</f>
        <v>1343.0621293426357</v>
      </c>
      <c r="Q86" s="338">
        <f>J79*POP!Q60/100</f>
        <v>1259.644482305452</v>
      </c>
      <c r="R86" s="192"/>
      <c r="S86" s="192"/>
    </row>
    <row r="87" spans="1:19" ht="15">
      <c r="A87" s="545" t="s">
        <v>103</v>
      </c>
      <c r="B87" s="338">
        <f>F57*POP!B60/100</f>
        <v>1176.49906305</v>
      </c>
      <c r="C87" s="338">
        <f>G57*POP!C60/100</f>
        <v>1201.4044454999998</v>
      </c>
      <c r="D87" s="338">
        <f>H57*POP!D60/100</f>
        <v>1172.6142802000002</v>
      </c>
      <c r="E87" s="338">
        <f>I57*POP!E60/100</f>
        <v>1280.9958328999999</v>
      </c>
      <c r="F87" s="338">
        <f>J57*POP!F60/100</f>
        <v>1111.2877475</v>
      </c>
      <c r="G87" s="338">
        <f>K57*POP!G60/100</f>
        <v>1065.3056343057722</v>
      </c>
      <c r="H87" s="338">
        <f>L57*POP!H60/100</f>
        <v>1088.2277034623623</v>
      </c>
      <c r="I87" s="338">
        <f>B80*POP!I60/100</f>
        <v>1074.9606430726546</v>
      </c>
      <c r="J87" s="338">
        <f>C80*POP!J60/100</f>
        <v>1062.1261831137028</v>
      </c>
      <c r="K87" s="338">
        <f>D80*POP!K60/100</f>
        <v>1048.4696805399049</v>
      </c>
      <c r="L87" s="338">
        <f>E80*POP!L60/100</f>
        <v>1037.2859267851004</v>
      </c>
      <c r="M87" s="338">
        <f>F80*POP!M60/100</f>
        <v>1025.028280719455</v>
      </c>
      <c r="N87" s="338">
        <f>G80*POP!N60/100</f>
        <v>1014.8765878315502</v>
      </c>
      <c r="O87" s="338">
        <f>H80*POP!O60/100</f>
        <v>1003.4322828473668</v>
      </c>
      <c r="P87" s="338">
        <f>I80*POP!P60/100</f>
        <v>993.9161708621717</v>
      </c>
      <c r="Q87" s="338">
        <f>J80*POP!Q60/100</f>
        <v>983.0279706249692</v>
      </c>
      <c r="R87" s="192"/>
      <c r="S87" s="192"/>
    </row>
    <row r="88" spans="1:19" ht="15">
      <c r="A88" s="192"/>
      <c r="B88" s="192"/>
      <c r="C88" s="192"/>
      <c r="D88" s="192"/>
      <c r="E88" s="192"/>
      <c r="F88" s="192"/>
      <c r="G88" s="192"/>
      <c r="H88" s="192"/>
      <c r="I88" s="192"/>
      <c r="J88" s="192"/>
      <c r="K88" s="192"/>
      <c r="L88" s="192"/>
      <c r="M88" s="192"/>
      <c r="N88" s="192"/>
      <c r="O88" s="192"/>
      <c r="P88" s="192"/>
      <c r="Q88" s="192"/>
      <c r="R88" s="192"/>
      <c r="S88" s="192"/>
    </row>
    <row r="89" spans="1:19" ht="15">
      <c r="A89" s="537" t="s">
        <v>250</v>
      </c>
      <c r="B89" s="192"/>
      <c r="C89" s="192"/>
      <c r="D89" s="192"/>
      <c r="E89" s="192"/>
      <c r="F89" s="192"/>
      <c r="G89" s="192"/>
      <c r="H89" s="192"/>
      <c r="I89" s="192"/>
      <c r="J89" s="192"/>
      <c r="K89" s="192"/>
      <c r="L89" s="192"/>
      <c r="M89" s="192"/>
      <c r="N89" s="192"/>
      <c r="O89" s="192"/>
      <c r="P89" s="192"/>
      <c r="Q89" s="192"/>
      <c r="R89" s="192"/>
      <c r="S89" s="192"/>
    </row>
    <row r="90" spans="1:19" ht="15">
      <c r="A90" s="536"/>
      <c r="B90" s="536">
        <v>2005</v>
      </c>
      <c r="C90" s="536">
        <v>2006</v>
      </c>
      <c r="D90" s="536">
        <v>2007</v>
      </c>
      <c r="E90" s="536">
        <v>2008</v>
      </c>
      <c r="F90" s="536">
        <v>2009</v>
      </c>
      <c r="G90" s="536">
        <v>2010</v>
      </c>
      <c r="H90" s="536">
        <v>2011</v>
      </c>
      <c r="I90" s="536">
        <v>2012</v>
      </c>
      <c r="J90" s="536">
        <v>2013</v>
      </c>
      <c r="K90" s="536">
        <v>2014</v>
      </c>
      <c r="L90" s="536">
        <v>2015</v>
      </c>
      <c r="M90" s="536">
        <v>2016</v>
      </c>
      <c r="N90" s="536">
        <v>2017</v>
      </c>
      <c r="O90" s="536">
        <v>2018</v>
      </c>
      <c r="P90" s="536">
        <v>2019</v>
      </c>
      <c r="Q90" s="536">
        <v>2020</v>
      </c>
      <c r="R90" s="192"/>
      <c r="S90" s="192"/>
    </row>
    <row r="91" spans="1:19" ht="15">
      <c r="A91" s="123" t="s">
        <v>209</v>
      </c>
      <c r="B91" s="549">
        <f>B85/SUM(POP!B46:B48)</f>
        <v>0.1504343810152473</v>
      </c>
      <c r="C91" s="549">
        <f>C85/SUM(POP!C46:C48)</f>
        <v>0.14007411116111612</v>
      </c>
      <c r="D91" s="549">
        <f>D85/SUM(POP!D46:D48)</f>
        <v>0.12169954481983043</v>
      </c>
      <c r="E91" s="549">
        <f>E85/SUM(POP!E46:E48)</f>
        <v>0.12500488862100737</v>
      </c>
      <c r="F91" s="549">
        <f>F85/SUM(POP!F46:F48)</f>
        <v>0.11227854288907115</v>
      </c>
      <c r="G91" s="549">
        <f>G85/SUM(POP!G46:G48)</f>
        <v>0.11150775807349486</v>
      </c>
      <c r="H91" s="549">
        <f>H85/SUM(POP!H46:H48)</f>
        <v>0.11403435820038162</v>
      </c>
      <c r="I91" s="549">
        <f>I85/SUM(POP!I46:I48)</f>
        <v>0.09877276665050652</v>
      </c>
      <c r="J91" s="549">
        <f>J85/SUM(POP!J46:J48)</f>
        <v>0.09371805152589206</v>
      </c>
      <c r="K91" s="549">
        <f>K85/SUM(POP!K46:K48)</f>
        <v>0.08877977220473643</v>
      </c>
      <c r="L91" s="549">
        <f>L85/SUM(POP!L46:L48)</f>
        <v>0.08419000009818482</v>
      </c>
      <c r="M91" s="549">
        <f>M85/SUM(POP!M46:M48)</f>
        <v>0.07961777949283091</v>
      </c>
      <c r="N91" s="549">
        <f>N85/SUM(POP!N46:N48)</f>
        <v>0.07532958975692958</v>
      </c>
      <c r="O91" s="549">
        <f>O85/SUM(POP!O46:O48)</f>
        <v>0.07104764946728784</v>
      </c>
      <c r="P91" s="549">
        <f>P85/SUM(POP!P46:P48)</f>
        <v>0.06699198362098185</v>
      </c>
      <c r="Q91" s="549">
        <f>Q85/SUM(POP!Q46:Q48)</f>
        <v>0.06292403117205429</v>
      </c>
      <c r="R91" s="192"/>
      <c r="S91" s="192"/>
    </row>
    <row r="92" spans="1:19" ht="15">
      <c r="A92" s="123" t="s">
        <v>208</v>
      </c>
      <c r="B92" s="549">
        <f>B86/SUM(POP!B49:B57)</f>
        <v>0.07732697954924875</v>
      </c>
      <c r="C92" s="549">
        <f>C86/SUM(POP!C49:C57)</f>
        <v>0.06902769356503373</v>
      </c>
      <c r="D92" s="549">
        <f>D86/SUM(POP!D49:D57)</f>
        <v>0.060480990355645844</v>
      </c>
      <c r="E92" s="549">
        <f>E86/SUM(POP!E49:E57)</f>
        <v>0.06476153216452928</v>
      </c>
      <c r="F92" s="549">
        <f>F86/SUM(POP!F49:F57)</f>
        <v>0.06120040096360266</v>
      </c>
      <c r="G92" s="549">
        <f>G86/SUM(POP!G49:G57)</f>
        <v>0.05776019155767051</v>
      </c>
      <c r="H92" s="549">
        <f>H86/SUM(POP!H49:H57)</f>
        <v>0.055421660189324554</v>
      </c>
      <c r="I92" s="549">
        <f>I86/SUM(POP!I49:I57)</f>
        <v>0.04790415810785947</v>
      </c>
      <c r="J92" s="549">
        <f>J86/SUM(POP!J49:J57)</f>
        <v>0.04505250167606897</v>
      </c>
      <c r="K92" s="549">
        <f>K86/SUM(POP!K49:K57)</f>
        <v>0.04236107254083397</v>
      </c>
      <c r="L92" s="549">
        <f>L86/SUM(POP!L49:L57)</f>
        <v>0.0399370873503087</v>
      </c>
      <c r="M92" s="549">
        <f>M86/SUM(POP!M49:M57)</f>
        <v>0.037618387988567176</v>
      </c>
      <c r="N92" s="549">
        <f>N86/SUM(POP!N49:N57)</f>
        <v>0.03550797059673722</v>
      </c>
      <c r="O92" s="549">
        <f>O86/SUM(POP!O49:O57)</f>
        <v>0.03346942438933612</v>
      </c>
      <c r="P92" s="549">
        <f>P86/SUM(POP!P49:P57)</f>
        <v>0.03160088547855264</v>
      </c>
      <c r="Q92" s="549">
        <f>Q86/SUM(POP!Q49:Q57)</f>
        <v>0.02978364229269039</v>
      </c>
      <c r="R92" s="192"/>
      <c r="S92" s="192"/>
    </row>
    <row r="93" spans="1:19" ht="15">
      <c r="A93" s="123" t="s">
        <v>210</v>
      </c>
      <c r="B93" s="549">
        <f>B87/SUM(POP!B58:B59)</f>
        <v>0.16849298452083147</v>
      </c>
      <c r="C93" s="549">
        <f>C87/SUM(POP!C58:C59)</f>
        <v>0.16562106573880245</v>
      </c>
      <c r="D93" s="549">
        <f>D87/SUM(POP!D58:D59)</f>
        <v>0.15581516345045462</v>
      </c>
      <c r="E93" s="549">
        <f>E87/SUM(POP!E58:E59)</f>
        <v>0.16442951090597357</v>
      </c>
      <c r="F93" s="549">
        <f>F87/SUM(POP!F58:F59)</f>
        <v>0.13683207866632258</v>
      </c>
      <c r="G93" s="549">
        <f>G87/SUM(POP!G58:G59)</f>
        <v>0.126711089409505</v>
      </c>
      <c r="H93" s="549">
        <f>H87/SUM(POP!H58:H59)</f>
        <v>0.12435595059214898</v>
      </c>
      <c r="I93" s="549">
        <f>I87/SUM(POP!I58:I59)</f>
        <v>0.11783920505020293</v>
      </c>
      <c r="J93" s="549">
        <f>J87/SUM(POP!J58:J59)</f>
        <v>0.11160243163116504</v>
      </c>
      <c r="K93" s="549">
        <f>K87/SUM(POP!K58:K59)</f>
        <v>0.10674888659243115</v>
      </c>
      <c r="L93" s="549">
        <f>L87/SUM(POP!L58:L59)</f>
        <v>0.10126958850430548</v>
      </c>
      <c r="M93" s="549">
        <f>M87/SUM(POP!M58:M59)</f>
        <v>0.09702079906852167</v>
      </c>
      <c r="N93" s="549">
        <f>N87/SUM(POP!N58:N59)</f>
        <v>0.09224932859842572</v>
      </c>
      <c r="O93" s="549">
        <f>O87/SUM(POP!O58:O59)</f>
        <v>0.08848356450470772</v>
      </c>
      <c r="P93" s="549">
        <f>P87/SUM(POP!P58:P59)</f>
        <v>0.08426117707734922</v>
      </c>
      <c r="Q93" s="549">
        <f>Q87/SUM(POP!Q58:Q59)</f>
        <v>0.08087222774991758</v>
      </c>
      <c r="R93" s="192"/>
      <c r="S93" s="192"/>
    </row>
    <row r="94" spans="1:19" ht="15">
      <c r="A94" s="192"/>
      <c r="B94" s="192"/>
      <c r="C94" s="192"/>
      <c r="D94" s="192"/>
      <c r="E94" s="192"/>
      <c r="F94" s="192"/>
      <c r="G94" s="192"/>
      <c r="H94" s="192"/>
      <c r="I94" s="192"/>
      <c r="J94" s="192"/>
      <c r="K94" s="192"/>
      <c r="L94" s="192"/>
      <c r="M94" s="192"/>
      <c r="N94" s="192"/>
      <c r="O94" s="192"/>
      <c r="P94" s="192"/>
      <c r="Q94" s="192"/>
      <c r="R94" s="192"/>
      <c r="S94" s="192"/>
    </row>
    <row r="95" ht="15">
      <c r="A95" s="222" t="s">
        <v>255</v>
      </c>
    </row>
    <row r="96" spans="1:17" ht="15">
      <c r="A96" s="536"/>
      <c r="B96" s="536">
        <v>2005</v>
      </c>
      <c r="C96" s="536">
        <v>2006</v>
      </c>
      <c r="D96" s="536">
        <v>2007</v>
      </c>
      <c r="E96" s="536">
        <v>2008</v>
      </c>
      <c r="F96" s="536">
        <v>2009</v>
      </c>
      <c r="G96" s="536">
        <v>2010</v>
      </c>
      <c r="H96" s="536">
        <v>2011</v>
      </c>
      <c r="I96" s="536">
        <v>2012</v>
      </c>
      <c r="J96" s="536">
        <v>2013</v>
      </c>
      <c r="K96" s="536">
        <v>2014</v>
      </c>
      <c r="L96" s="536">
        <v>2015</v>
      </c>
      <c r="M96" s="536">
        <v>2016</v>
      </c>
      <c r="N96" s="536">
        <v>2017</v>
      </c>
      <c r="O96" s="536">
        <v>2018</v>
      </c>
      <c r="P96" s="536">
        <v>2019</v>
      </c>
      <c r="Q96" s="536">
        <v>2020</v>
      </c>
    </row>
    <row r="97" spans="1:17" ht="15">
      <c r="A97" s="123" t="s">
        <v>150</v>
      </c>
      <c r="B97" s="550">
        <f>F58</f>
        <v>10.355</v>
      </c>
      <c r="C97" s="550">
        <f aca="true" t="shared" si="11" ref="C97:H97">G58</f>
        <v>9.55</v>
      </c>
      <c r="D97" s="550">
        <f t="shared" si="11"/>
        <v>8.48</v>
      </c>
      <c r="E97" s="550">
        <f t="shared" si="11"/>
        <v>8.95</v>
      </c>
      <c r="F97" s="550">
        <f t="shared" si="11"/>
        <v>8.12</v>
      </c>
      <c r="G97" s="550">
        <f t="shared" si="11"/>
        <v>7.75</v>
      </c>
      <c r="H97" s="550">
        <f t="shared" si="11"/>
        <v>7.62406174225093</v>
      </c>
      <c r="I97" s="550">
        <f>B81</f>
        <v>6.753484288240854</v>
      </c>
      <c r="J97" s="550">
        <f aca="true" t="shared" si="12" ref="J97:Q97">C81</f>
        <v>6.398254751585698</v>
      </c>
      <c r="K97" s="550">
        <f t="shared" si="12"/>
        <v>6.069363571167482</v>
      </c>
      <c r="L97" s="550">
        <f t="shared" si="12"/>
        <v>5.763173207508391</v>
      </c>
      <c r="M97" s="550">
        <f t="shared" si="12"/>
        <v>5.47675125069985</v>
      </c>
      <c r="N97" s="550">
        <f t="shared" si="12"/>
        <v>5.207699179078512</v>
      </c>
      <c r="O97" s="550">
        <f t="shared" si="12"/>
        <v>4.954030138456821</v>
      </c>
      <c r="P97" s="550">
        <f t="shared" si="12"/>
        <v>4.714079810459337</v>
      </c>
      <c r="Q97" s="550">
        <f t="shared" si="12"/>
        <v>4.486440169967388</v>
      </c>
    </row>
    <row r="98" spans="1:17" ht="15">
      <c r="A98" s="551" t="s">
        <v>361</v>
      </c>
      <c r="B98" s="541">
        <f>85%*B97</f>
        <v>8.80175</v>
      </c>
      <c r="C98" s="541">
        <f aca="true" t="shared" si="13" ref="C98:Q98">85%*C97</f>
        <v>8.1175</v>
      </c>
      <c r="D98" s="541">
        <f t="shared" si="13"/>
        <v>7.208</v>
      </c>
      <c r="E98" s="541">
        <f t="shared" si="13"/>
        <v>7.607499999999999</v>
      </c>
      <c r="F98" s="541">
        <f t="shared" si="13"/>
        <v>6.901999999999999</v>
      </c>
      <c r="G98" s="541">
        <f t="shared" si="13"/>
        <v>6.5874999999999995</v>
      </c>
      <c r="H98" s="541">
        <f t="shared" si="13"/>
        <v>6.48045248091329</v>
      </c>
      <c r="I98" s="541">
        <f t="shared" si="13"/>
        <v>5.740461645004726</v>
      </c>
      <c r="J98" s="541">
        <f t="shared" si="13"/>
        <v>5.438516538847844</v>
      </c>
      <c r="K98" s="541">
        <f t="shared" si="13"/>
        <v>5.15895903549236</v>
      </c>
      <c r="L98" s="541">
        <f t="shared" si="13"/>
        <v>4.898697226382132</v>
      </c>
      <c r="M98" s="541">
        <f t="shared" si="13"/>
        <v>4.655238563094873</v>
      </c>
      <c r="N98" s="541">
        <f t="shared" si="13"/>
        <v>4.426544302216735</v>
      </c>
      <c r="O98" s="541">
        <f t="shared" si="13"/>
        <v>4.210925617688297</v>
      </c>
      <c r="P98" s="541">
        <f t="shared" si="13"/>
        <v>4.006967838890437</v>
      </c>
      <c r="Q98" s="541">
        <f t="shared" si="13"/>
        <v>3.8134741444722793</v>
      </c>
    </row>
    <row r="99" spans="1:17" ht="15">
      <c r="A99" s="551" t="s">
        <v>362</v>
      </c>
      <c r="B99" s="552">
        <f>B97-B98</f>
        <v>1.5532500000000002</v>
      </c>
      <c r="C99" s="552">
        <f aca="true" t="shared" si="14" ref="C99:Q99">C97-C98</f>
        <v>1.432500000000001</v>
      </c>
      <c r="D99" s="552">
        <f t="shared" si="14"/>
        <v>1.2720000000000002</v>
      </c>
      <c r="E99" s="552">
        <f t="shared" si="14"/>
        <v>1.3425000000000002</v>
      </c>
      <c r="F99" s="552">
        <f t="shared" si="14"/>
        <v>1.218</v>
      </c>
      <c r="G99" s="552">
        <f t="shared" si="14"/>
        <v>1.1625000000000005</v>
      </c>
      <c r="H99" s="552">
        <f t="shared" si="14"/>
        <v>1.14360926133764</v>
      </c>
      <c r="I99" s="552">
        <f t="shared" si="14"/>
        <v>1.0130226432361278</v>
      </c>
      <c r="J99" s="552">
        <f t="shared" si="14"/>
        <v>0.9597382127378546</v>
      </c>
      <c r="K99" s="552">
        <f t="shared" si="14"/>
        <v>0.9104045356751227</v>
      </c>
      <c r="L99" s="552">
        <f t="shared" si="14"/>
        <v>0.864475981126259</v>
      </c>
      <c r="M99" s="552">
        <f t="shared" si="14"/>
        <v>0.8215126876049776</v>
      </c>
      <c r="N99" s="552">
        <f t="shared" si="14"/>
        <v>0.7811548768617769</v>
      </c>
      <c r="O99" s="552">
        <f t="shared" si="14"/>
        <v>0.7431045207685232</v>
      </c>
      <c r="P99" s="552">
        <f t="shared" si="14"/>
        <v>0.7071119715689003</v>
      </c>
      <c r="Q99" s="552">
        <f t="shared" si="14"/>
        <v>0.6729660254951084</v>
      </c>
    </row>
    <row r="101" ht="15">
      <c r="A101" s="94" t="s">
        <v>338</v>
      </c>
    </row>
    <row r="102" ht="15">
      <c r="A102" s="77" t="s">
        <v>360</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17375D"/>
  </sheetPr>
  <dimension ref="A1:S300"/>
  <sheetViews>
    <sheetView workbookViewId="0" topLeftCell="A1">
      <selection activeCell="A2" sqref="A2"/>
    </sheetView>
  </sheetViews>
  <sheetFormatPr defaultColWidth="8.8515625" defaultRowHeight="15"/>
  <cols>
    <col min="1" max="1" width="8.8515625" style="77" customWidth="1"/>
    <col min="2" max="5" width="9.140625" style="77" customWidth="1"/>
    <col min="6" max="6" width="9.140625" style="278" customWidth="1"/>
    <col min="7" max="17" width="9.140625" style="77" customWidth="1"/>
    <col min="18" max="18" width="8.8515625" style="77" customWidth="1"/>
    <col min="19" max="19" width="10.00390625" style="77" bestFit="1" customWidth="1"/>
    <col min="20" max="16384" width="8.8515625" style="77" customWidth="1"/>
  </cols>
  <sheetData>
    <row r="1" spans="1:17" ht="18.75">
      <c r="A1" s="60" t="s">
        <v>62</v>
      </c>
      <c r="B1" s="1"/>
      <c r="C1" s="1"/>
      <c r="D1" s="1"/>
      <c r="E1" s="1"/>
      <c r="F1" s="37"/>
      <c r="G1" s="1"/>
      <c r="H1" s="1"/>
      <c r="I1" s="1"/>
      <c r="J1" s="1"/>
      <c r="K1" s="1"/>
      <c r="L1" s="1"/>
      <c r="M1" s="1"/>
      <c r="N1" s="1"/>
      <c r="O1" s="1"/>
      <c r="P1" s="1"/>
      <c r="Q1" s="1"/>
    </row>
    <row r="2" spans="1:17" ht="15">
      <c r="A2" s="1"/>
      <c r="B2" s="1"/>
      <c r="C2" s="1"/>
      <c r="D2" s="1"/>
      <c r="E2" s="1"/>
      <c r="F2" s="37"/>
      <c r="G2" s="1"/>
      <c r="H2" s="1"/>
      <c r="I2" s="1"/>
      <c r="J2" s="1"/>
      <c r="K2" s="1"/>
      <c r="L2" s="1"/>
      <c r="M2" s="1"/>
      <c r="N2" s="1"/>
      <c r="O2" s="48" t="s">
        <v>32</v>
      </c>
      <c r="P2" s="50"/>
      <c r="Q2" s="51" t="str">
        <f>README!I6</f>
        <v>1.1</v>
      </c>
    </row>
    <row r="3" spans="1:17" ht="15">
      <c r="A3" s="1"/>
      <c r="B3" s="1"/>
      <c r="C3" s="1"/>
      <c r="D3" s="1"/>
      <c r="E3" s="1"/>
      <c r="F3" s="37"/>
      <c r="G3" s="1"/>
      <c r="H3" s="1"/>
      <c r="I3" s="1"/>
      <c r="J3" s="1"/>
      <c r="K3" s="1"/>
      <c r="L3" s="1"/>
      <c r="M3" s="1"/>
      <c r="N3" s="1"/>
      <c r="O3" s="48" t="s">
        <v>28</v>
      </c>
      <c r="P3" s="50"/>
      <c r="Q3" s="51" t="str">
        <f>README!I7</f>
        <v>Coresia</v>
      </c>
    </row>
    <row r="4" spans="1:17" ht="15">
      <c r="A4" s="1"/>
      <c r="B4" s="1"/>
      <c r="C4" s="1"/>
      <c r="D4" s="1"/>
      <c r="E4" s="1"/>
      <c r="F4" s="37"/>
      <c r="G4" s="1"/>
      <c r="H4" s="1"/>
      <c r="I4" s="1"/>
      <c r="J4" s="1"/>
      <c r="K4" s="1"/>
      <c r="L4" s="1"/>
      <c r="M4" s="1"/>
      <c r="N4" s="1"/>
      <c r="O4" s="48" t="s">
        <v>33</v>
      </c>
      <c r="P4" s="595">
        <f>README!H8</f>
        <v>41565</v>
      </c>
      <c r="Q4" s="595"/>
    </row>
    <row r="5" spans="1:17" ht="15">
      <c r="A5" s="1"/>
      <c r="B5" s="1"/>
      <c r="C5" s="1"/>
      <c r="D5" s="1"/>
      <c r="E5" s="1"/>
      <c r="F5" s="37"/>
      <c r="G5" s="1"/>
      <c r="H5" s="1"/>
      <c r="I5" s="1"/>
      <c r="J5" s="1"/>
      <c r="K5" s="1"/>
      <c r="L5" s="1"/>
      <c r="M5" s="1"/>
      <c r="N5" s="1"/>
      <c r="O5" s="48" t="s">
        <v>25</v>
      </c>
      <c r="P5" s="595">
        <f>README!H9</f>
        <v>41605</v>
      </c>
      <c r="Q5" s="595"/>
    </row>
    <row r="6" spans="1:17" ht="15">
      <c r="A6" s="1"/>
      <c r="B6" s="1"/>
      <c r="C6" s="1"/>
      <c r="D6" s="1"/>
      <c r="E6" s="1"/>
      <c r="F6" s="37"/>
      <c r="G6" s="1"/>
      <c r="H6" s="1"/>
      <c r="I6" s="1"/>
      <c r="J6" s="1"/>
      <c r="K6" s="1"/>
      <c r="L6" s="1"/>
      <c r="M6" s="1"/>
      <c r="N6" s="1"/>
      <c r="O6" s="48" t="s">
        <v>26</v>
      </c>
      <c r="P6" s="50"/>
      <c r="Q6" s="51" t="str">
        <f>README!I10</f>
        <v>ABND guide</v>
      </c>
    </row>
    <row r="7" spans="1:17" ht="17.25">
      <c r="A7" s="39"/>
      <c r="B7" s="1"/>
      <c r="C7" s="1"/>
      <c r="D7" s="1"/>
      <c r="E7" s="1"/>
      <c r="F7" s="37"/>
      <c r="G7" s="1"/>
      <c r="H7" s="1"/>
      <c r="I7" s="1"/>
      <c r="J7" s="1"/>
      <c r="K7" s="1"/>
      <c r="L7" s="1"/>
      <c r="M7" s="1"/>
      <c r="N7" s="1"/>
      <c r="O7" s="1"/>
      <c r="P7" s="1"/>
      <c r="Q7" s="1"/>
    </row>
    <row r="8" spans="1:17" ht="17.25">
      <c r="A8" s="2" t="s">
        <v>20</v>
      </c>
      <c r="B8" s="1"/>
      <c r="C8" s="1"/>
      <c r="D8" s="1"/>
      <c r="E8" s="1"/>
      <c r="F8" s="37"/>
      <c r="G8" s="1"/>
      <c r="H8" s="1"/>
      <c r="I8" s="1"/>
      <c r="J8" s="1"/>
      <c r="K8" s="1"/>
      <c r="L8" s="1"/>
      <c r="M8" s="1"/>
      <c r="N8" s="1"/>
      <c r="O8" s="1"/>
      <c r="P8" s="1"/>
      <c r="Q8" s="1"/>
    </row>
    <row r="9" spans="1:17" ht="15">
      <c r="A9" s="294" t="s">
        <v>1</v>
      </c>
      <c r="B9" s="300">
        <v>2005</v>
      </c>
      <c r="C9" s="300">
        <v>2006</v>
      </c>
      <c r="D9" s="300">
        <v>2007</v>
      </c>
      <c r="E9" s="300">
        <v>2008</v>
      </c>
      <c r="F9" s="300">
        <v>2009</v>
      </c>
      <c r="G9" s="300">
        <v>2010</v>
      </c>
      <c r="H9" s="300">
        <v>2011</v>
      </c>
      <c r="I9" s="300">
        <v>2012</v>
      </c>
      <c r="J9" s="300">
        <v>2013</v>
      </c>
      <c r="K9" s="300">
        <v>2014</v>
      </c>
      <c r="L9" s="300">
        <v>2015</v>
      </c>
      <c r="M9" s="300">
        <v>2016</v>
      </c>
      <c r="N9" s="300">
        <v>2017</v>
      </c>
      <c r="O9" s="300">
        <v>2018</v>
      </c>
      <c r="P9" s="300">
        <v>2019</v>
      </c>
      <c r="Q9" s="300">
        <v>2020</v>
      </c>
    </row>
    <row r="10" spans="1:17" ht="15">
      <c r="A10" s="55" t="s">
        <v>2</v>
      </c>
      <c r="B10" s="339">
        <f>SUM(B64:B68)</f>
        <v>2183</v>
      </c>
      <c r="C10" s="339">
        <f>SUM(C64:C68)</f>
        <v>2144</v>
      </c>
      <c r="D10" s="339">
        <f>SUM(D64:D68)</f>
        <v>2105</v>
      </c>
      <c r="E10" s="339">
        <f aca="true" t="shared" si="0" ref="E10:K10">SUM(E64:E68)</f>
        <v>2065</v>
      </c>
      <c r="F10" s="339">
        <f t="shared" si="0"/>
        <v>2025</v>
      </c>
      <c r="G10" s="339">
        <f t="shared" si="0"/>
        <v>1984</v>
      </c>
      <c r="H10" s="339">
        <f t="shared" si="0"/>
        <v>1958.3687867678977</v>
      </c>
      <c r="I10" s="341">
        <f t="shared" si="0"/>
        <v>1937.2060325028306</v>
      </c>
      <c r="J10" s="342">
        <f t="shared" si="0"/>
        <v>1920.5974444761066</v>
      </c>
      <c r="K10" s="342">
        <f t="shared" si="0"/>
        <v>1909.1993989540438</v>
      </c>
      <c r="L10" s="342">
        <f aca="true" t="shared" si="1" ref="L10:Q10">SUM(L64:L68)</f>
        <v>1904.5466165160312</v>
      </c>
      <c r="M10" s="342">
        <f t="shared" si="1"/>
        <v>1889.217284566766</v>
      </c>
      <c r="N10" s="342">
        <f t="shared" si="1"/>
        <v>1872.2469013015943</v>
      </c>
      <c r="O10" s="342">
        <f t="shared" si="1"/>
        <v>1853.4764940044388</v>
      </c>
      <c r="P10" s="342">
        <f t="shared" si="1"/>
        <v>1832.7081324457397</v>
      </c>
      <c r="Q10" s="343">
        <f t="shared" si="1"/>
        <v>1809.718105925329</v>
      </c>
    </row>
    <row r="11" spans="1:17" ht="15">
      <c r="A11" s="56" t="s">
        <v>3</v>
      </c>
      <c r="B11" s="339">
        <f>SUM(B69:B73)</f>
        <v>2314</v>
      </c>
      <c r="C11" s="339">
        <f>SUM(C69:C73)</f>
        <v>2294</v>
      </c>
      <c r="D11" s="339">
        <f>SUM(D69:D73)</f>
        <v>2265</v>
      </c>
      <c r="E11" s="339">
        <f aca="true" t="shared" si="2" ref="E11:K11">SUM(E69:E73)</f>
        <v>2232</v>
      </c>
      <c r="F11" s="339">
        <f t="shared" si="2"/>
        <v>2197</v>
      </c>
      <c r="G11" s="339">
        <f t="shared" si="2"/>
        <v>2160</v>
      </c>
      <c r="H11" s="339">
        <f t="shared" si="2"/>
        <v>2122.0270271620393</v>
      </c>
      <c r="I11" s="344">
        <f t="shared" si="2"/>
        <v>2084.9663057327252</v>
      </c>
      <c r="J11" s="340">
        <f t="shared" si="2"/>
        <v>2047.5376987488382</v>
      </c>
      <c r="K11" s="340">
        <f t="shared" si="2"/>
        <v>2009.3348154398045</v>
      </c>
      <c r="L11" s="340">
        <f aca="true" t="shared" si="3" ref="L11:Q11">SUM(L69:L73)</f>
        <v>1969.0575234869707</v>
      </c>
      <c r="M11" s="340">
        <f t="shared" si="3"/>
        <v>1944.3858969557411</v>
      </c>
      <c r="N11" s="340">
        <f t="shared" si="3"/>
        <v>1923.6781076297636</v>
      </c>
      <c r="O11" s="340">
        <f t="shared" si="3"/>
        <v>1907.5006575198868</v>
      </c>
      <c r="P11" s="340">
        <f t="shared" si="3"/>
        <v>1896.5087287456886</v>
      </c>
      <c r="Q11" s="345">
        <f t="shared" si="3"/>
        <v>1892.2338995751475</v>
      </c>
    </row>
    <row r="12" spans="1:17" ht="15">
      <c r="A12" s="56" t="s">
        <v>4</v>
      </c>
      <c r="B12" s="339">
        <f>SUM(B74:B78)</f>
        <v>2327</v>
      </c>
      <c r="C12" s="339">
        <f aca="true" t="shared" si="4" ref="C12:I12">SUM(C74:C78)</f>
        <v>2336</v>
      </c>
      <c r="D12" s="339">
        <f t="shared" si="4"/>
        <v>2339</v>
      </c>
      <c r="E12" s="339">
        <f t="shared" si="4"/>
        <v>2335</v>
      </c>
      <c r="F12" s="339">
        <f t="shared" si="4"/>
        <v>2323</v>
      </c>
      <c r="G12" s="339">
        <f t="shared" si="4"/>
        <v>2307</v>
      </c>
      <c r="H12" s="339">
        <f t="shared" si="4"/>
        <v>2284.559076282368</v>
      </c>
      <c r="I12" s="344">
        <f t="shared" si="4"/>
        <v>2256.2687316344677</v>
      </c>
      <c r="J12" s="340">
        <f aca="true" t="shared" si="5" ref="J12:Q12">SUM(J74:J78)</f>
        <v>2223.8610139343923</v>
      </c>
      <c r="K12" s="340">
        <f t="shared" si="5"/>
        <v>2188.940309821434</v>
      </c>
      <c r="L12" s="340">
        <f t="shared" si="5"/>
        <v>2152.798506514967</v>
      </c>
      <c r="M12" s="340">
        <f t="shared" si="5"/>
        <v>2116.19535466445</v>
      </c>
      <c r="N12" s="340">
        <f t="shared" si="5"/>
        <v>2079.374850750959</v>
      </c>
      <c r="O12" s="340">
        <f t="shared" si="5"/>
        <v>2042.1793136413776</v>
      </c>
      <c r="P12" s="340">
        <f t="shared" si="5"/>
        <v>2004.20363343368</v>
      </c>
      <c r="Q12" s="345">
        <f t="shared" si="5"/>
        <v>1964.1513386512804</v>
      </c>
    </row>
    <row r="13" spans="1:17" ht="15">
      <c r="A13" s="56" t="s">
        <v>5</v>
      </c>
      <c r="B13" s="339">
        <f>SUM(B79:B83)</f>
        <v>2197</v>
      </c>
      <c r="C13" s="339">
        <f aca="true" t="shared" si="6" ref="C13:I13">SUM(C79:C83)</f>
        <v>2215</v>
      </c>
      <c r="D13" s="339">
        <f t="shared" si="6"/>
        <v>2240</v>
      </c>
      <c r="E13" s="339">
        <f t="shared" si="6"/>
        <v>2270</v>
      </c>
      <c r="F13" s="339">
        <f t="shared" si="6"/>
        <v>2300</v>
      </c>
      <c r="G13" s="339">
        <f t="shared" si="6"/>
        <v>2322</v>
      </c>
      <c r="H13" s="339">
        <f t="shared" si="6"/>
        <v>2331.3343812623825</v>
      </c>
      <c r="I13" s="344">
        <f t="shared" si="6"/>
        <v>2332.2456398550626</v>
      </c>
      <c r="J13" s="340">
        <f aca="true" t="shared" si="7" ref="J13:Q13">SUM(J79:J83)</f>
        <v>2325.3432347522057</v>
      </c>
      <c r="K13" s="340">
        <f t="shared" si="7"/>
        <v>2312.4212492485226</v>
      </c>
      <c r="L13" s="340">
        <f t="shared" si="7"/>
        <v>2294.8705907133594</v>
      </c>
      <c r="M13" s="340">
        <f t="shared" si="7"/>
        <v>2272.403039087186</v>
      </c>
      <c r="N13" s="340">
        <f t="shared" si="7"/>
        <v>2244.5374429643502</v>
      </c>
      <c r="O13" s="340">
        <f t="shared" si="7"/>
        <v>2212.5654459129146</v>
      </c>
      <c r="P13" s="340">
        <f t="shared" si="7"/>
        <v>2178.0818786790846</v>
      </c>
      <c r="Q13" s="345">
        <f t="shared" si="7"/>
        <v>2142.3707662103243</v>
      </c>
    </row>
    <row r="14" spans="1:17" ht="15">
      <c r="A14" s="56" t="s">
        <v>6</v>
      </c>
      <c r="B14" s="339">
        <f>SUM(B84:B88)</f>
        <v>2292</v>
      </c>
      <c r="C14" s="339">
        <f aca="true" t="shared" si="8" ref="C14:I14">SUM(C84:C88)</f>
        <v>2252</v>
      </c>
      <c r="D14" s="339">
        <f t="shared" si="8"/>
        <v>2221</v>
      </c>
      <c r="E14" s="339">
        <f t="shared" si="8"/>
        <v>2200</v>
      </c>
      <c r="F14" s="339">
        <f t="shared" si="8"/>
        <v>2188</v>
      </c>
      <c r="G14" s="339">
        <f t="shared" si="8"/>
        <v>2189</v>
      </c>
      <c r="H14" s="339">
        <f t="shared" si="8"/>
        <v>2201.3962009139896</v>
      </c>
      <c r="I14" s="344">
        <f t="shared" si="8"/>
        <v>2224.653774765798</v>
      </c>
      <c r="J14" s="340">
        <f aca="true" t="shared" si="9" ref="J14:Q14">SUM(J84:J88)</f>
        <v>2253.825202663734</v>
      </c>
      <c r="K14" s="340">
        <f t="shared" si="9"/>
        <v>2281.038314795677</v>
      </c>
      <c r="L14" s="340">
        <f t="shared" si="9"/>
        <v>2300.5195209516123</v>
      </c>
      <c r="M14" s="340">
        <f t="shared" si="9"/>
        <v>2310.4198740590546</v>
      </c>
      <c r="N14" s="340">
        <f t="shared" si="9"/>
        <v>2311.8006463520073</v>
      </c>
      <c r="O14" s="340">
        <f t="shared" si="9"/>
        <v>2305.426190426252</v>
      </c>
      <c r="P14" s="340">
        <f t="shared" si="9"/>
        <v>2293.0692329106264</v>
      </c>
      <c r="Q14" s="345">
        <f t="shared" si="9"/>
        <v>2276.104840508482</v>
      </c>
    </row>
    <row r="15" spans="1:17" ht="15">
      <c r="A15" s="56" t="s">
        <v>7</v>
      </c>
      <c r="B15" s="339">
        <f>SUM(B89:B93)</f>
        <v>2546</v>
      </c>
      <c r="C15" s="339">
        <f aca="true" t="shared" si="10" ref="C15:I15">SUM(C89:C93)</f>
        <v>2501</v>
      </c>
      <c r="D15" s="339">
        <f t="shared" si="10"/>
        <v>2447</v>
      </c>
      <c r="E15" s="339">
        <f t="shared" si="10"/>
        <v>2387</v>
      </c>
      <c r="F15" s="339">
        <f t="shared" si="10"/>
        <v>2331</v>
      </c>
      <c r="G15" s="339">
        <f t="shared" si="10"/>
        <v>2283</v>
      </c>
      <c r="H15" s="339">
        <f t="shared" si="10"/>
        <v>2238.684163320637</v>
      </c>
      <c r="I15" s="344">
        <f t="shared" si="10"/>
        <v>2203.4349803663345</v>
      </c>
      <c r="J15" s="340">
        <f aca="true" t="shared" si="11" ref="J15:Q15">SUM(J89:J93)</f>
        <v>2178.242828144532</v>
      </c>
      <c r="K15" s="340">
        <f t="shared" si="11"/>
        <v>2164.6956710085283</v>
      </c>
      <c r="L15" s="340">
        <f t="shared" si="11"/>
        <v>2163.34600882092</v>
      </c>
      <c r="M15" s="340">
        <f t="shared" si="11"/>
        <v>2175.3086654823287</v>
      </c>
      <c r="N15" s="340">
        <f t="shared" si="11"/>
        <v>2198.897667270059</v>
      </c>
      <c r="O15" s="340">
        <f t="shared" si="11"/>
        <v>2228.317236221366</v>
      </c>
      <c r="P15" s="340">
        <f t="shared" si="11"/>
        <v>2255.788713957898</v>
      </c>
      <c r="Q15" s="345">
        <f t="shared" si="11"/>
        <v>2275.6049436909084</v>
      </c>
    </row>
    <row r="16" spans="1:17" ht="15">
      <c r="A16" s="56" t="s">
        <v>8</v>
      </c>
      <c r="B16" s="339">
        <f>SUM(B94:B98)</f>
        <v>2606</v>
      </c>
      <c r="C16" s="339">
        <f aca="true" t="shared" si="12" ref="C16:I16">SUM(C94:C98)</f>
        <v>2592</v>
      </c>
      <c r="D16" s="339">
        <f t="shared" si="12"/>
        <v>2584</v>
      </c>
      <c r="E16" s="339">
        <f t="shared" si="12"/>
        <v>2576</v>
      </c>
      <c r="F16" s="339">
        <f t="shared" si="12"/>
        <v>2558</v>
      </c>
      <c r="G16" s="339">
        <f t="shared" si="12"/>
        <v>2524</v>
      </c>
      <c r="H16" s="339">
        <f t="shared" si="12"/>
        <v>2475.741498112695</v>
      </c>
      <c r="I16" s="344">
        <f t="shared" si="12"/>
        <v>2417.753572950456</v>
      </c>
      <c r="J16" s="340">
        <f aca="true" t="shared" si="13" ref="J16:Q16">SUM(J94:J98)</f>
        <v>2355.198842165646</v>
      </c>
      <c r="K16" s="340">
        <f t="shared" si="13"/>
        <v>2295.531162304795</v>
      </c>
      <c r="L16" s="340">
        <f t="shared" si="13"/>
        <v>2244.3173645997217</v>
      </c>
      <c r="M16" s="340">
        <f t="shared" si="13"/>
        <v>2202.253490298251</v>
      </c>
      <c r="N16" s="340">
        <f t="shared" si="13"/>
        <v>2168.362967039165</v>
      </c>
      <c r="O16" s="340">
        <f t="shared" si="13"/>
        <v>2144.3297231823663</v>
      </c>
      <c r="P16" s="340">
        <f t="shared" si="13"/>
        <v>2131.735758511888</v>
      </c>
      <c r="Q16" s="345">
        <f t="shared" si="13"/>
        <v>2131.1392694610818</v>
      </c>
    </row>
    <row r="17" spans="1:17" ht="15">
      <c r="A17" s="56" t="s">
        <v>9</v>
      </c>
      <c r="B17" s="339">
        <f>SUM(B99:B103)</f>
        <v>2717</v>
      </c>
      <c r="C17" s="339">
        <f aca="true" t="shared" si="14" ref="C17:I17">SUM(C99:C103)</f>
        <v>2710</v>
      </c>
      <c r="D17" s="339">
        <f t="shared" si="14"/>
        <v>2685</v>
      </c>
      <c r="E17" s="339">
        <f t="shared" si="14"/>
        <v>2648</v>
      </c>
      <c r="F17" s="339">
        <f t="shared" si="14"/>
        <v>2611</v>
      </c>
      <c r="G17" s="339">
        <f t="shared" si="14"/>
        <v>2580</v>
      </c>
      <c r="H17" s="339">
        <f t="shared" si="14"/>
        <v>2557.5790184581265</v>
      </c>
      <c r="I17" s="344">
        <f t="shared" si="14"/>
        <v>2541.50777548481</v>
      </c>
      <c r="J17" s="340">
        <f aca="true" t="shared" si="15" ref="J17:Q17">SUM(J99:J103)</f>
        <v>2527.237637642963</v>
      </c>
      <c r="K17" s="340">
        <f t="shared" si="15"/>
        <v>2506.4249599097648</v>
      </c>
      <c r="L17" s="340">
        <f t="shared" si="15"/>
        <v>2473.600693585366</v>
      </c>
      <c r="M17" s="340">
        <f t="shared" si="15"/>
        <v>2427.477952940025</v>
      </c>
      <c r="N17" s="340">
        <f t="shared" si="15"/>
        <v>2371.5864768929487</v>
      </c>
      <c r="O17" s="340">
        <f t="shared" si="15"/>
        <v>2311.1517941136035</v>
      </c>
      <c r="P17" s="340">
        <f t="shared" si="15"/>
        <v>2253.487037145545</v>
      </c>
      <c r="Q17" s="345">
        <f t="shared" si="15"/>
        <v>2204.062024964585</v>
      </c>
    </row>
    <row r="18" spans="1:17" ht="15">
      <c r="A18" s="56" t="s">
        <v>10</v>
      </c>
      <c r="B18" s="339">
        <f>SUM(B104:B108)</f>
        <v>2508</v>
      </c>
      <c r="C18" s="339">
        <f aca="true" t="shared" si="16" ref="C18:I18">SUM(C104:C108)</f>
        <v>2557</v>
      </c>
      <c r="D18" s="339">
        <f t="shared" si="16"/>
        <v>2603</v>
      </c>
      <c r="E18" s="339">
        <f t="shared" si="16"/>
        <v>2644</v>
      </c>
      <c r="F18" s="339">
        <f t="shared" si="16"/>
        <v>2669</v>
      </c>
      <c r="G18" s="339">
        <f t="shared" si="16"/>
        <v>2674</v>
      </c>
      <c r="H18" s="339">
        <f t="shared" si="16"/>
        <v>2660.116568554599</v>
      </c>
      <c r="I18" s="344">
        <f t="shared" si="16"/>
        <v>2630.7714953414015</v>
      </c>
      <c r="J18" s="340">
        <f aca="true" t="shared" si="17" ref="J18:Q18">SUM(J104:J108)</f>
        <v>2592.5382414071746</v>
      </c>
      <c r="K18" s="340">
        <f t="shared" si="17"/>
        <v>2554.5311301708807</v>
      </c>
      <c r="L18" s="340">
        <f t="shared" si="17"/>
        <v>2523.042551559921</v>
      </c>
      <c r="M18" s="340">
        <f t="shared" si="17"/>
        <v>2501.1530644954983</v>
      </c>
      <c r="N18" s="340">
        <f t="shared" si="17"/>
        <v>2486.553035048928</v>
      </c>
      <c r="O18" s="340">
        <f t="shared" si="17"/>
        <v>2473.663877224243</v>
      </c>
      <c r="P18" s="340">
        <f t="shared" si="17"/>
        <v>2454.3198540172384</v>
      </c>
      <c r="Q18" s="345">
        <f t="shared" si="17"/>
        <v>2423.1618811541684</v>
      </c>
    </row>
    <row r="19" spans="1:17" ht="15">
      <c r="A19" s="56" t="s">
        <v>11</v>
      </c>
      <c r="B19" s="339">
        <f>SUM(B109:B113)</f>
        <v>2165</v>
      </c>
      <c r="C19" s="339">
        <f aca="true" t="shared" si="18" ref="C19:I19">SUM(C109:C113)</f>
        <v>2233</v>
      </c>
      <c r="D19" s="339">
        <f t="shared" si="18"/>
        <v>2298</v>
      </c>
      <c r="E19" s="339">
        <f t="shared" si="18"/>
        <v>2352</v>
      </c>
      <c r="F19" s="339">
        <f t="shared" si="18"/>
        <v>2409</v>
      </c>
      <c r="G19" s="339">
        <f t="shared" si="18"/>
        <v>2459</v>
      </c>
      <c r="H19" s="339">
        <f t="shared" si="18"/>
        <v>2502.93478450722</v>
      </c>
      <c r="I19" s="344">
        <f t="shared" si="18"/>
        <v>2543.2716083234736</v>
      </c>
      <c r="J19" s="340">
        <f aca="true" t="shared" si="19" ref="J19:Q19">SUM(J109:J113)</f>
        <v>2575.9533390671077</v>
      </c>
      <c r="K19" s="340">
        <f t="shared" si="19"/>
        <v>2596.280054420886</v>
      </c>
      <c r="L19" s="340">
        <f t="shared" si="19"/>
        <v>2601.397304152224</v>
      </c>
      <c r="M19" s="340">
        <f t="shared" si="19"/>
        <v>2589.2473011882284</v>
      </c>
      <c r="N19" s="340">
        <f t="shared" si="19"/>
        <v>2561.963326661549</v>
      </c>
      <c r="O19" s="340">
        <f t="shared" si="19"/>
        <v>2525.9832538752653</v>
      </c>
      <c r="P19" s="340">
        <f t="shared" si="19"/>
        <v>2490.1812169461255</v>
      </c>
      <c r="Q19" s="345">
        <f t="shared" si="19"/>
        <v>2460.688293477586</v>
      </c>
    </row>
    <row r="20" spans="1:17" ht="15">
      <c r="A20" s="56" t="s">
        <v>12</v>
      </c>
      <c r="B20" s="339">
        <f>SUM(B114:B118)</f>
        <v>1773</v>
      </c>
      <c r="C20" s="339">
        <f aca="true" t="shared" si="20" ref="C20:I20">SUM(C114:C118)</f>
        <v>1849</v>
      </c>
      <c r="D20" s="339">
        <f t="shared" si="20"/>
        <v>1922</v>
      </c>
      <c r="E20" s="339">
        <f t="shared" si="20"/>
        <v>1988</v>
      </c>
      <c r="F20" s="339">
        <f t="shared" si="20"/>
        <v>2044.718</v>
      </c>
      <c r="G20" s="339">
        <f t="shared" si="20"/>
        <v>2107</v>
      </c>
      <c r="H20" s="339">
        <f t="shared" si="20"/>
        <v>2162.7989230672883</v>
      </c>
      <c r="I20" s="344">
        <f t="shared" si="20"/>
        <v>2218.514389744264</v>
      </c>
      <c r="J20" s="340">
        <f aca="true" t="shared" si="21" ref="J20:Q20">SUM(J114:J118)</f>
        <v>2272.871751751299</v>
      </c>
      <c r="K20" s="340">
        <f t="shared" si="21"/>
        <v>2324.5142672978045</v>
      </c>
      <c r="L20" s="340">
        <f t="shared" si="21"/>
        <v>2372.1715104341074</v>
      </c>
      <c r="M20" s="340">
        <f t="shared" si="21"/>
        <v>2416.4758664929295</v>
      </c>
      <c r="N20" s="340">
        <f t="shared" si="21"/>
        <v>2456.9511708286486</v>
      </c>
      <c r="O20" s="340">
        <f t="shared" si="21"/>
        <v>2490.0247634764874</v>
      </c>
      <c r="P20" s="340">
        <f t="shared" si="21"/>
        <v>2511.1288855865823</v>
      </c>
      <c r="Q20" s="345">
        <f t="shared" si="21"/>
        <v>2517.483433916341</v>
      </c>
    </row>
    <row r="21" spans="1:17" ht="15">
      <c r="A21" s="56" t="s">
        <v>13</v>
      </c>
      <c r="B21" s="339">
        <f>SUM(B119:B123)</f>
        <v>1318</v>
      </c>
      <c r="C21" s="339">
        <f aca="true" t="shared" si="22" ref="C21:I21">SUM(C119:C123)</f>
        <v>1387</v>
      </c>
      <c r="D21" s="339">
        <f t="shared" si="22"/>
        <v>1466</v>
      </c>
      <c r="E21" s="339">
        <f t="shared" si="22"/>
        <v>1553</v>
      </c>
      <c r="F21" s="339">
        <f t="shared" si="22"/>
        <v>1642.177</v>
      </c>
      <c r="G21" s="339">
        <f t="shared" si="22"/>
        <v>1721</v>
      </c>
      <c r="H21" s="339">
        <f t="shared" si="22"/>
        <v>1786.371398157975</v>
      </c>
      <c r="I21" s="344">
        <f t="shared" si="22"/>
        <v>1845.1066260049547</v>
      </c>
      <c r="J21" s="340">
        <f aca="true" t="shared" si="23" ref="J21:Q21">SUM(J119:J123)</f>
        <v>1898.8704365675683</v>
      </c>
      <c r="K21" s="340">
        <f t="shared" si="23"/>
        <v>1951.465131101132</v>
      </c>
      <c r="L21" s="340">
        <f t="shared" si="23"/>
        <v>2005.3711186614553</v>
      </c>
      <c r="M21" s="340">
        <f t="shared" si="23"/>
        <v>2060.4999039047602</v>
      </c>
      <c r="N21" s="340">
        <f t="shared" si="23"/>
        <v>2115.2713083584786</v>
      </c>
      <c r="O21" s="340">
        <f t="shared" si="23"/>
        <v>2168.779048202004</v>
      </c>
      <c r="P21" s="340">
        <f t="shared" si="23"/>
        <v>2219.7320314379213</v>
      </c>
      <c r="Q21" s="345">
        <f t="shared" si="23"/>
        <v>2266.9155264178967</v>
      </c>
    </row>
    <row r="22" spans="1:17" ht="15">
      <c r="A22" s="56" t="s">
        <v>14</v>
      </c>
      <c r="B22" s="339">
        <f>SUM(B124:B128)</f>
        <v>1035</v>
      </c>
      <c r="C22" s="339">
        <f aca="true" t="shared" si="24" ref="C22:I22">SUM(C124:C128)</f>
        <v>1067</v>
      </c>
      <c r="D22" s="339">
        <f t="shared" si="24"/>
        <v>1101</v>
      </c>
      <c r="E22" s="339">
        <f t="shared" si="24"/>
        <v>1133</v>
      </c>
      <c r="F22" s="339">
        <f t="shared" si="24"/>
        <v>1176</v>
      </c>
      <c r="G22" s="339">
        <f t="shared" si="24"/>
        <v>1230</v>
      </c>
      <c r="H22" s="339">
        <f t="shared" si="24"/>
        <v>1298.2904799620892</v>
      </c>
      <c r="I22" s="344">
        <f t="shared" si="24"/>
        <v>1375.5827533076974</v>
      </c>
      <c r="J22" s="340">
        <f aca="true" t="shared" si="25" ref="J22:Q22">SUM(J124:J128)</f>
        <v>1457.1105015984454</v>
      </c>
      <c r="K22" s="340">
        <f t="shared" si="25"/>
        <v>1536.1689365664542</v>
      </c>
      <c r="L22" s="340">
        <f t="shared" si="25"/>
        <v>1608.2452392815053</v>
      </c>
      <c r="M22" s="340">
        <f t="shared" si="25"/>
        <v>1671.8178206544808</v>
      </c>
      <c r="N22" s="340">
        <f t="shared" si="25"/>
        <v>1728.4471826843012</v>
      </c>
      <c r="O22" s="340">
        <f t="shared" si="25"/>
        <v>1780.5200215717164</v>
      </c>
      <c r="P22" s="340">
        <f t="shared" si="25"/>
        <v>1831.5795361357918</v>
      </c>
      <c r="Q22" s="345">
        <f t="shared" si="25"/>
        <v>1883.9337849379574</v>
      </c>
    </row>
    <row r="23" spans="1:17" ht="15">
      <c r="A23" s="56" t="s">
        <v>18</v>
      </c>
      <c r="B23" s="339">
        <f>SUM(B129:B139)</f>
        <v>2189</v>
      </c>
      <c r="C23" s="339">
        <f aca="true" t="shared" si="26" ref="C23:I23">SUM(C129:C139)</f>
        <v>2286</v>
      </c>
      <c r="D23" s="339">
        <f t="shared" si="26"/>
        <v>2362</v>
      </c>
      <c r="E23" s="339">
        <f t="shared" si="26"/>
        <v>2419</v>
      </c>
      <c r="F23" s="339">
        <f t="shared" si="26"/>
        <v>2485</v>
      </c>
      <c r="G23" s="339">
        <f t="shared" si="26"/>
        <v>2546</v>
      </c>
      <c r="H23" s="339">
        <f t="shared" si="26"/>
        <v>2629.512346034612</v>
      </c>
      <c r="I23" s="346">
        <f t="shared" si="26"/>
        <v>2716.3352244267226</v>
      </c>
      <c r="J23" s="347">
        <f aca="true" t="shared" si="27" ref="J23:Q23">SUM(J129:J139)</f>
        <v>2809.096667550127</v>
      </c>
      <c r="K23" s="347">
        <f t="shared" si="27"/>
        <v>2911.2501204390283</v>
      </c>
      <c r="L23" s="347">
        <f t="shared" si="27"/>
        <v>3024.9609842798436</v>
      </c>
      <c r="M23" s="347">
        <f t="shared" si="27"/>
        <v>3150.870422159155</v>
      </c>
      <c r="N23" s="347">
        <f t="shared" si="27"/>
        <v>3287.7199540111274</v>
      </c>
      <c r="O23" s="347">
        <f t="shared" si="27"/>
        <v>3433.3922040067782</v>
      </c>
      <c r="P23" s="347">
        <f t="shared" si="27"/>
        <v>3584.971222727423</v>
      </c>
      <c r="Q23" s="348">
        <f t="shared" si="27"/>
        <v>3740.3420115810877</v>
      </c>
    </row>
    <row r="24" spans="1:17" ht="15">
      <c r="A24" s="296" t="s">
        <v>15</v>
      </c>
      <c r="B24" s="299">
        <f aca="true" t="shared" si="28" ref="B24:Q24">SUM(B10:B23)</f>
        <v>30170</v>
      </c>
      <c r="C24" s="299">
        <f t="shared" si="28"/>
        <v>30423</v>
      </c>
      <c r="D24" s="299">
        <f t="shared" si="28"/>
        <v>30638</v>
      </c>
      <c r="E24" s="299">
        <f t="shared" si="28"/>
        <v>30802</v>
      </c>
      <c r="F24" s="299">
        <f t="shared" si="28"/>
        <v>30958.895</v>
      </c>
      <c r="G24" s="299">
        <f t="shared" si="28"/>
        <v>31086</v>
      </c>
      <c r="H24" s="299">
        <f t="shared" si="28"/>
        <v>31209.71465256392</v>
      </c>
      <c r="I24" s="299">
        <f t="shared" si="28"/>
        <v>31327.618910441004</v>
      </c>
      <c r="J24" s="299">
        <f t="shared" si="28"/>
        <v>31438.284840470144</v>
      </c>
      <c r="K24" s="299">
        <f t="shared" si="28"/>
        <v>31541.795521478754</v>
      </c>
      <c r="L24" s="299">
        <f t="shared" si="28"/>
        <v>31638.245533558</v>
      </c>
      <c r="M24" s="299">
        <f t="shared" si="28"/>
        <v>31727.725936948853</v>
      </c>
      <c r="N24" s="299">
        <f t="shared" si="28"/>
        <v>31807.39103779388</v>
      </c>
      <c r="O24" s="299">
        <f t="shared" si="28"/>
        <v>31877.310023378704</v>
      </c>
      <c r="P24" s="299">
        <f t="shared" si="28"/>
        <v>31937.49586268123</v>
      </c>
      <c r="Q24" s="299">
        <f t="shared" si="28"/>
        <v>31987.910120472177</v>
      </c>
    </row>
    <row r="25" spans="1:17" ht="15">
      <c r="A25" s="1"/>
      <c r="B25" s="1"/>
      <c r="C25" s="1"/>
      <c r="D25" s="1"/>
      <c r="E25" s="1"/>
      <c r="F25" s="37"/>
      <c r="G25" s="1"/>
      <c r="H25" s="1"/>
      <c r="I25" s="1"/>
      <c r="J25" s="1"/>
      <c r="K25" s="1"/>
      <c r="L25" s="1"/>
      <c r="M25" s="1"/>
      <c r="N25" s="1"/>
      <c r="O25" s="1"/>
      <c r="P25" s="1"/>
      <c r="Q25" s="1"/>
    </row>
    <row r="26" spans="1:17" ht="17.25">
      <c r="A26" s="5" t="s">
        <v>19</v>
      </c>
      <c r="B26" s="1"/>
      <c r="C26" s="1"/>
      <c r="D26" s="1"/>
      <c r="E26" s="6"/>
      <c r="F26" s="37"/>
      <c r="G26" s="1"/>
      <c r="H26" s="1"/>
      <c r="I26" s="1"/>
      <c r="J26" s="1"/>
      <c r="K26" s="1"/>
      <c r="L26" s="1"/>
      <c r="M26" s="1"/>
      <c r="N26" s="1"/>
      <c r="O26" s="1"/>
      <c r="P26" s="1"/>
      <c r="Q26" s="1"/>
    </row>
    <row r="27" spans="1:17" ht="15">
      <c r="A27" s="294" t="s">
        <v>1</v>
      </c>
      <c r="B27" s="295">
        <v>2005</v>
      </c>
      <c r="C27" s="295">
        <v>2006</v>
      </c>
      <c r="D27" s="295">
        <v>2007</v>
      </c>
      <c r="E27" s="295">
        <v>2008</v>
      </c>
      <c r="F27" s="301">
        <v>2009</v>
      </c>
      <c r="G27" s="295">
        <v>2010</v>
      </c>
      <c r="H27" s="295">
        <v>2011</v>
      </c>
      <c r="I27" s="76">
        <v>2012</v>
      </c>
      <c r="J27" s="76">
        <v>2013</v>
      </c>
      <c r="K27" s="76">
        <v>2014</v>
      </c>
      <c r="L27" s="76">
        <v>2015</v>
      </c>
      <c r="M27" s="76">
        <v>2016</v>
      </c>
      <c r="N27" s="76">
        <v>2017</v>
      </c>
      <c r="O27" s="76">
        <v>2018</v>
      </c>
      <c r="P27" s="76">
        <v>2019</v>
      </c>
      <c r="Q27" s="76">
        <v>2020</v>
      </c>
    </row>
    <row r="28" spans="1:17" ht="15">
      <c r="A28" s="55" t="s">
        <v>2</v>
      </c>
      <c r="B28" s="339">
        <f>SUM(B144:B148)</f>
        <v>2097</v>
      </c>
      <c r="C28" s="339">
        <f>SUM(C144:C148)</f>
        <v>2054</v>
      </c>
      <c r="D28" s="339">
        <f aca="true" t="shared" si="29" ref="D28:J28">SUM(D144:D148)</f>
        <v>2011</v>
      </c>
      <c r="E28" s="339">
        <f t="shared" si="29"/>
        <v>1971</v>
      </c>
      <c r="F28" s="339">
        <f t="shared" si="29"/>
        <v>1929</v>
      </c>
      <c r="G28" s="339">
        <f t="shared" si="29"/>
        <v>1887.537483426919</v>
      </c>
      <c r="H28" s="339">
        <f t="shared" si="29"/>
        <v>1864.6580609016362</v>
      </c>
      <c r="I28" s="341">
        <f t="shared" si="29"/>
        <v>1846.029808233344</v>
      </c>
      <c r="J28" s="342">
        <f t="shared" si="29"/>
        <v>1832.1039736493985</v>
      </c>
      <c r="K28" s="342">
        <f aca="true" t="shared" si="30" ref="K28:Q28">SUM(K144:K148)</f>
        <v>1823.328676558741</v>
      </c>
      <c r="L28" s="342">
        <f t="shared" si="30"/>
        <v>1820.7213267332836</v>
      </c>
      <c r="M28" s="342">
        <f t="shared" si="30"/>
        <v>1805.7912161350885</v>
      </c>
      <c r="N28" s="342">
        <f t="shared" si="30"/>
        <v>1789.307875891614</v>
      </c>
      <c r="O28" s="342">
        <f t="shared" si="30"/>
        <v>1771.1157282662934</v>
      </c>
      <c r="P28" s="342">
        <f t="shared" si="30"/>
        <v>1751.0241314717118</v>
      </c>
      <c r="Q28" s="343">
        <f t="shared" si="30"/>
        <v>1728.8184287674435</v>
      </c>
    </row>
    <row r="29" spans="1:17" ht="15">
      <c r="A29" s="56" t="s">
        <v>3</v>
      </c>
      <c r="B29" s="339">
        <f>SUM(B149:B153)</f>
        <v>2243</v>
      </c>
      <c r="C29" s="339">
        <f aca="true" t="shared" si="31" ref="C29:I29">SUM(C149:C153)</f>
        <v>2218</v>
      </c>
      <c r="D29" s="339">
        <f t="shared" si="31"/>
        <v>2187.601</v>
      </c>
      <c r="E29" s="339">
        <f t="shared" si="31"/>
        <v>2150</v>
      </c>
      <c r="F29" s="339">
        <f t="shared" si="31"/>
        <v>2110.5969999999998</v>
      </c>
      <c r="G29" s="339">
        <f t="shared" si="31"/>
        <v>2071.6826622514905</v>
      </c>
      <c r="H29" s="339">
        <f t="shared" si="31"/>
        <v>2033.5871425496648</v>
      </c>
      <c r="I29" s="344">
        <f t="shared" si="31"/>
        <v>1995.2360169216665</v>
      </c>
      <c r="J29" s="340">
        <f aca="true" t="shared" si="32" ref="J29:Q29">SUM(J149:J153)</f>
        <v>1956.6263832879258</v>
      </c>
      <c r="K29" s="340">
        <f t="shared" si="32"/>
        <v>1917.604524104177</v>
      </c>
      <c r="L29" s="340">
        <f t="shared" si="32"/>
        <v>1877.4143173908549</v>
      </c>
      <c r="M29" s="340">
        <f t="shared" si="32"/>
        <v>1854.7935417391668</v>
      </c>
      <c r="N29" s="340">
        <f t="shared" si="32"/>
        <v>1836.435119150231</v>
      </c>
      <c r="O29" s="340">
        <f t="shared" si="32"/>
        <v>1822.7688497731033</v>
      </c>
      <c r="P29" s="340">
        <f t="shared" si="32"/>
        <v>1814.2420919461822</v>
      </c>
      <c r="Q29" s="345">
        <f t="shared" si="32"/>
        <v>1811.8700679822643</v>
      </c>
    </row>
    <row r="30" spans="1:17" ht="15">
      <c r="A30" s="56" t="s">
        <v>4</v>
      </c>
      <c r="B30" s="339">
        <f>SUM(B154:B158)</f>
        <v>2281</v>
      </c>
      <c r="C30" s="339">
        <f aca="true" t="shared" si="33" ref="C30:I30">SUM(C154:C158)</f>
        <v>2286</v>
      </c>
      <c r="D30" s="339">
        <f t="shared" si="33"/>
        <v>2283</v>
      </c>
      <c r="E30" s="339">
        <f t="shared" si="33"/>
        <v>2271</v>
      </c>
      <c r="F30" s="339">
        <f t="shared" si="33"/>
        <v>2254</v>
      </c>
      <c r="G30" s="339">
        <f t="shared" si="33"/>
        <v>2232.6286032038824</v>
      </c>
      <c r="H30" s="339">
        <f t="shared" si="33"/>
        <v>2206.64783734353</v>
      </c>
      <c r="I30" s="344">
        <f t="shared" si="33"/>
        <v>2176.057267282201</v>
      </c>
      <c r="J30" s="340">
        <f aca="true" t="shared" si="34" ref="J30:Q30">SUM(J154:J158)</f>
        <v>2141.9770595153745</v>
      </c>
      <c r="K30" s="340">
        <f t="shared" si="34"/>
        <v>2105.7024434004798</v>
      </c>
      <c r="L30" s="340">
        <f t="shared" si="34"/>
        <v>2068.2668353344993</v>
      </c>
      <c r="M30" s="340">
        <f t="shared" si="34"/>
        <v>2030.3044333504631</v>
      </c>
      <c r="N30" s="340">
        <f t="shared" si="34"/>
        <v>1992.0823776428688</v>
      </c>
      <c r="O30" s="340">
        <f t="shared" si="34"/>
        <v>1953.5979268959197</v>
      </c>
      <c r="P30" s="340">
        <f t="shared" si="34"/>
        <v>1914.6977097290378</v>
      </c>
      <c r="Q30" s="345">
        <f t="shared" si="34"/>
        <v>1874.626943383782</v>
      </c>
    </row>
    <row r="31" spans="1:17" ht="15">
      <c r="A31" s="56" t="s">
        <v>5</v>
      </c>
      <c r="B31" s="339">
        <f>SUM(B159:B163)</f>
        <v>2189</v>
      </c>
      <c r="C31" s="339">
        <f aca="true" t="shared" si="35" ref="C31:I31">SUM(C159:C163)</f>
        <v>2194</v>
      </c>
      <c r="D31" s="339">
        <f t="shared" si="35"/>
        <v>2214</v>
      </c>
      <c r="E31" s="339">
        <f t="shared" si="35"/>
        <v>2240</v>
      </c>
      <c r="F31" s="339">
        <f t="shared" si="35"/>
        <v>2261</v>
      </c>
      <c r="G31" s="339">
        <f t="shared" si="35"/>
        <v>2277.578354795385</v>
      </c>
      <c r="H31" s="339">
        <f t="shared" si="35"/>
        <v>2282.80354929291</v>
      </c>
      <c r="I31" s="344">
        <f t="shared" si="35"/>
        <v>2278.989983634761</v>
      </c>
      <c r="J31" s="340">
        <f aca="true" t="shared" si="36" ref="J31:Q31">SUM(J159:J163)</f>
        <v>2267.1451811564616</v>
      </c>
      <c r="K31" s="340">
        <f t="shared" si="36"/>
        <v>2249.4925418792986</v>
      </c>
      <c r="L31" s="340">
        <f t="shared" si="36"/>
        <v>2227.787532560759</v>
      </c>
      <c r="M31" s="340">
        <f t="shared" si="36"/>
        <v>2201.9608275437904</v>
      </c>
      <c r="N31" s="340">
        <f t="shared" si="36"/>
        <v>2171.5293753362403</v>
      </c>
      <c r="O31" s="340">
        <f t="shared" si="36"/>
        <v>2137.6107386822173</v>
      </c>
      <c r="P31" s="340">
        <f t="shared" si="36"/>
        <v>2101.4971977020423</v>
      </c>
      <c r="Q31" s="345">
        <f t="shared" si="36"/>
        <v>2064.219898984551</v>
      </c>
    </row>
    <row r="32" spans="1:17" ht="15">
      <c r="A32" s="56" t="s">
        <v>6</v>
      </c>
      <c r="B32" s="339">
        <f>SUM(B164:B168)</f>
        <v>2328</v>
      </c>
      <c r="C32" s="339">
        <f aca="true" t="shared" si="37" ref="C32:I32">SUM(C164:C168)</f>
        <v>2280</v>
      </c>
      <c r="D32" s="339">
        <f t="shared" si="37"/>
        <v>2239</v>
      </c>
      <c r="E32" s="339">
        <f t="shared" si="37"/>
        <v>2209</v>
      </c>
      <c r="F32" s="339">
        <f t="shared" si="37"/>
        <v>2188</v>
      </c>
      <c r="G32" s="339">
        <f t="shared" si="37"/>
        <v>2181.3138728267104</v>
      </c>
      <c r="H32" s="339">
        <f t="shared" si="37"/>
        <v>2187.860419371831</v>
      </c>
      <c r="I32" s="344">
        <f t="shared" si="37"/>
        <v>2206.7636935095816</v>
      </c>
      <c r="J32" s="340">
        <f aca="true" t="shared" si="38" ref="J32:Q32">SUM(J164:J168)</f>
        <v>2231.9744856533016</v>
      </c>
      <c r="K32" s="340">
        <f t="shared" si="38"/>
        <v>2255.3022459255226</v>
      </c>
      <c r="L32" s="340">
        <f t="shared" si="38"/>
        <v>2270.6937163002453</v>
      </c>
      <c r="M32" s="340">
        <f t="shared" si="38"/>
        <v>2276.0406773042573</v>
      </c>
      <c r="N32" s="340">
        <f t="shared" si="38"/>
        <v>2272.3734938014704</v>
      </c>
      <c r="O32" s="340">
        <f t="shared" si="38"/>
        <v>2260.6954227841416</v>
      </c>
      <c r="P32" s="340">
        <f t="shared" si="38"/>
        <v>2243.221415518697</v>
      </c>
      <c r="Q32" s="345">
        <f t="shared" si="38"/>
        <v>2221.700319858011</v>
      </c>
    </row>
    <row r="33" spans="1:17" ht="15">
      <c r="A33" s="56" t="s">
        <v>7</v>
      </c>
      <c r="B33" s="339">
        <f>SUM(B169:B173)</f>
        <v>2639</v>
      </c>
      <c r="C33" s="339">
        <f aca="true" t="shared" si="39" ref="C33:I33">SUM(C169:C173)</f>
        <v>2585</v>
      </c>
      <c r="D33" s="339">
        <f t="shared" si="39"/>
        <v>2521</v>
      </c>
      <c r="E33" s="339">
        <f t="shared" si="39"/>
        <v>2449.614</v>
      </c>
      <c r="F33" s="339">
        <f t="shared" si="39"/>
        <v>2383</v>
      </c>
      <c r="G33" s="339">
        <f t="shared" si="39"/>
        <v>2323.098188561142</v>
      </c>
      <c r="H33" s="339">
        <f t="shared" si="39"/>
        <v>2271.7596532257808</v>
      </c>
      <c r="I33" s="344">
        <f t="shared" si="39"/>
        <v>2229.332370608068</v>
      </c>
      <c r="J33" s="340">
        <f aca="true" t="shared" si="40" ref="J33:Q33">SUM(J169:J173)</f>
        <v>2197.5287444809674</v>
      </c>
      <c r="K33" s="340">
        <f t="shared" si="40"/>
        <v>2177.8348056644118</v>
      </c>
      <c r="L33" s="340">
        <f t="shared" si="40"/>
        <v>2170.7255705786756</v>
      </c>
      <c r="M33" s="340">
        <f t="shared" si="40"/>
        <v>2177.4742498018795</v>
      </c>
      <c r="N33" s="340">
        <f t="shared" si="40"/>
        <v>2196.5107615650545</v>
      </c>
      <c r="O33" s="340">
        <f t="shared" si="40"/>
        <v>2221.8148955231486</v>
      </c>
      <c r="P33" s="340">
        <f t="shared" si="40"/>
        <v>2245.2352862642692</v>
      </c>
      <c r="Q33" s="345">
        <f t="shared" si="40"/>
        <v>2260.747969294845</v>
      </c>
    </row>
    <row r="34" spans="1:17" ht="15">
      <c r="A34" s="56" t="s">
        <v>8</v>
      </c>
      <c r="B34" s="339">
        <f>SUM(B174:B178)</f>
        <v>2750</v>
      </c>
      <c r="C34" s="339">
        <f aca="true" t="shared" si="41" ref="C34:I34">SUM(C174:C178)</f>
        <v>2723</v>
      </c>
      <c r="D34" s="339">
        <f t="shared" si="41"/>
        <v>2705.37</v>
      </c>
      <c r="E34" s="339">
        <f t="shared" si="41"/>
        <v>2689.612</v>
      </c>
      <c r="F34" s="339">
        <f t="shared" si="41"/>
        <v>2665</v>
      </c>
      <c r="G34" s="339">
        <f t="shared" si="41"/>
        <v>2628.9079620656858</v>
      </c>
      <c r="H34" s="339">
        <f t="shared" si="41"/>
        <v>2574.8368770925936</v>
      </c>
      <c r="I34" s="344">
        <f t="shared" si="41"/>
        <v>2508.9241021543266</v>
      </c>
      <c r="J34" s="340">
        <f aca="true" t="shared" si="42" ref="J34:Q34">SUM(J174:J178)</f>
        <v>2437.085048623768</v>
      </c>
      <c r="K34" s="340">
        <f t="shared" si="42"/>
        <v>2367.7253292539845</v>
      </c>
      <c r="L34" s="340">
        <f t="shared" si="42"/>
        <v>2307.203591950012</v>
      </c>
      <c r="M34" s="340">
        <f t="shared" si="42"/>
        <v>2256.5337301837467</v>
      </c>
      <c r="N34" s="340">
        <f t="shared" si="42"/>
        <v>2214.692842074503</v>
      </c>
      <c r="O34" s="340">
        <f t="shared" si="42"/>
        <v>2183.3882118318047</v>
      </c>
      <c r="P34" s="340">
        <f t="shared" si="42"/>
        <v>2164.10299300464</v>
      </c>
      <c r="Q34" s="345">
        <f t="shared" si="42"/>
        <v>2157.314439180415</v>
      </c>
    </row>
    <row r="35" spans="1:17" ht="15">
      <c r="A35" s="56" t="s">
        <v>9</v>
      </c>
      <c r="B35" s="339">
        <f>SUM(B179:B183)</f>
        <v>2886</v>
      </c>
      <c r="C35" s="339">
        <f aca="true" t="shared" si="43" ref="C35:I35">SUM(C179:C183)</f>
        <v>2879</v>
      </c>
      <c r="D35" s="339">
        <f t="shared" si="43"/>
        <v>2849</v>
      </c>
      <c r="E35" s="339">
        <f t="shared" si="43"/>
        <v>2805</v>
      </c>
      <c r="F35" s="339">
        <f t="shared" si="43"/>
        <v>2765</v>
      </c>
      <c r="G35" s="339">
        <f t="shared" si="43"/>
        <v>2729.1074420344617</v>
      </c>
      <c r="H35" s="339">
        <f t="shared" si="43"/>
        <v>2703.421545271151</v>
      </c>
      <c r="I35" s="344">
        <f t="shared" si="43"/>
        <v>2685.7824117599293</v>
      </c>
      <c r="J35" s="340">
        <f aca="true" t="shared" si="44" ref="J35:Q35">SUM(J179:J183)</f>
        <v>2669.833121785928</v>
      </c>
      <c r="K35" s="340">
        <f t="shared" si="44"/>
        <v>2646.163523389213</v>
      </c>
      <c r="L35" s="340">
        <f t="shared" si="44"/>
        <v>2608.5126223959874</v>
      </c>
      <c r="M35" s="340">
        <f t="shared" si="44"/>
        <v>2555.250849598087</v>
      </c>
      <c r="N35" s="340">
        <f t="shared" si="44"/>
        <v>2490.211219802764</v>
      </c>
      <c r="O35" s="340">
        <f t="shared" si="44"/>
        <v>2419.2624696555135</v>
      </c>
      <c r="P35" s="340">
        <f t="shared" si="44"/>
        <v>2350.747831246235</v>
      </c>
      <c r="Q35" s="345">
        <f t="shared" si="44"/>
        <v>2290.9820847804085</v>
      </c>
    </row>
    <row r="36" spans="1:17" ht="15">
      <c r="A36" s="56" t="s">
        <v>10</v>
      </c>
      <c r="B36" s="339">
        <f>SUM(B184:B188)</f>
        <v>2690</v>
      </c>
      <c r="C36" s="339">
        <f aca="true" t="shared" si="45" ref="C36:I36">SUM(C184:C188)</f>
        <v>2744</v>
      </c>
      <c r="D36" s="339">
        <f t="shared" si="45"/>
        <v>2795</v>
      </c>
      <c r="E36" s="339">
        <f t="shared" si="45"/>
        <v>2839</v>
      </c>
      <c r="F36" s="339">
        <f t="shared" si="45"/>
        <v>2864</v>
      </c>
      <c r="G36" s="339">
        <f t="shared" si="45"/>
        <v>2869.2120374366036</v>
      </c>
      <c r="H36" s="339">
        <f t="shared" si="45"/>
        <v>2855.562448189507</v>
      </c>
      <c r="I36" s="344">
        <f t="shared" si="45"/>
        <v>2824.0007696395683</v>
      </c>
      <c r="J36" s="340">
        <f aca="true" t="shared" si="46" ref="J36:Q36">SUM(J184:J188)</f>
        <v>2781.906327815235</v>
      </c>
      <c r="K36" s="340">
        <f t="shared" si="46"/>
        <v>2739.557987822339</v>
      </c>
      <c r="L36" s="340">
        <f t="shared" si="46"/>
        <v>2704.117550792546</v>
      </c>
      <c r="M36" s="340">
        <f t="shared" si="46"/>
        <v>2679.1605741762833</v>
      </c>
      <c r="N36" s="340">
        <f t="shared" si="46"/>
        <v>2662.152416324813</v>
      </c>
      <c r="O36" s="340">
        <f t="shared" si="46"/>
        <v>2646.792595649333</v>
      </c>
      <c r="P36" s="340">
        <f t="shared" si="46"/>
        <v>2623.7524081532706</v>
      </c>
      <c r="Q36" s="345">
        <f t="shared" si="46"/>
        <v>2586.823203140004</v>
      </c>
    </row>
    <row r="37" spans="1:17" ht="15">
      <c r="A37" s="56" t="s">
        <v>11</v>
      </c>
      <c r="B37" s="339">
        <f>SUM(B189:B193)</f>
        <v>2342</v>
      </c>
      <c r="C37" s="339">
        <f aca="true" t="shared" si="47" ref="C37:I37">SUM(C189:C193)</f>
        <v>2409</v>
      </c>
      <c r="D37" s="339">
        <f t="shared" si="47"/>
        <v>2476</v>
      </c>
      <c r="E37" s="339">
        <f t="shared" si="47"/>
        <v>2542</v>
      </c>
      <c r="F37" s="339">
        <f t="shared" si="47"/>
        <v>2606</v>
      </c>
      <c r="G37" s="339">
        <f t="shared" si="47"/>
        <v>2663.1985751200455</v>
      </c>
      <c r="H37" s="339">
        <f t="shared" si="47"/>
        <v>2715.443854010034</v>
      </c>
      <c r="I37" s="344">
        <f t="shared" si="47"/>
        <v>2763.171868747388</v>
      </c>
      <c r="J37" s="340">
        <f aca="true" t="shared" si="48" ref="J37:Q37">SUM(J189:J193)</f>
        <v>2802.1489818813143</v>
      </c>
      <c r="K37" s="340">
        <f t="shared" si="48"/>
        <v>2826.9254842769624</v>
      </c>
      <c r="L37" s="340">
        <f t="shared" si="48"/>
        <v>2834.1194621608624</v>
      </c>
      <c r="M37" s="340">
        <f t="shared" si="48"/>
        <v>2821.2652877797514</v>
      </c>
      <c r="N37" s="340">
        <f t="shared" si="48"/>
        <v>2790.6978932887223</v>
      </c>
      <c r="O37" s="340">
        <f t="shared" si="48"/>
        <v>2749.7065450324853</v>
      </c>
      <c r="P37" s="340">
        <f t="shared" si="48"/>
        <v>2708.4472897879864</v>
      </c>
      <c r="Q37" s="345">
        <f t="shared" si="48"/>
        <v>2673.9966942831315</v>
      </c>
    </row>
    <row r="38" spans="1:17" ht="15">
      <c r="A38" s="56" t="s">
        <v>12</v>
      </c>
      <c r="B38" s="339">
        <f>SUM(B194:B198)</f>
        <v>1950</v>
      </c>
      <c r="C38" s="339">
        <f aca="true" t="shared" si="49" ref="C38:I38">SUM(C194:C198)</f>
        <v>2036</v>
      </c>
      <c r="D38" s="339">
        <f t="shared" si="49"/>
        <v>2112</v>
      </c>
      <c r="E38" s="339">
        <f t="shared" si="49"/>
        <v>2178</v>
      </c>
      <c r="F38" s="339">
        <f t="shared" si="49"/>
        <v>2241.121</v>
      </c>
      <c r="G38" s="339">
        <f t="shared" si="49"/>
        <v>2304.677867321607</v>
      </c>
      <c r="H38" s="339">
        <f t="shared" si="49"/>
        <v>2370.542628892807</v>
      </c>
      <c r="I38" s="344">
        <f t="shared" si="49"/>
        <v>2435.8304047712377</v>
      </c>
      <c r="J38" s="340">
        <f aca="true" t="shared" si="50" ref="J38:Q38">SUM(J194:J198)</f>
        <v>2499.5042944207985</v>
      </c>
      <c r="K38" s="340">
        <f t="shared" si="50"/>
        <v>2560.0744758942515</v>
      </c>
      <c r="L38" s="340">
        <f t="shared" si="50"/>
        <v>2616.110573300726</v>
      </c>
      <c r="M38" s="340">
        <f t="shared" si="50"/>
        <v>2668.3128895743707</v>
      </c>
      <c r="N38" s="340">
        <f t="shared" si="50"/>
        <v>2716.083029232407</v>
      </c>
      <c r="O38" s="340">
        <f t="shared" si="50"/>
        <v>2755.244857480788</v>
      </c>
      <c r="P38" s="340">
        <f t="shared" si="50"/>
        <v>2780.4231558440138</v>
      </c>
      <c r="Q38" s="345">
        <f t="shared" si="50"/>
        <v>2788.2802176841715</v>
      </c>
    </row>
    <row r="39" spans="1:17" ht="15">
      <c r="A39" s="56" t="s">
        <v>13</v>
      </c>
      <c r="B39" s="339">
        <f>SUM(B199:B203)</f>
        <v>1435</v>
      </c>
      <c r="C39" s="339">
        <f aca="true" t="shared" si="51" ref="C39:I39">SUM(C199:C203)</f>
        <v>1517</v>
      </c>
      <c r="D39" s="339">
        <f t="shared" si="51"/>
        <v>1613</v>
      </c>
      <c r="E39" s="339">
        <f t="shared" si="51"/>
        <v>1718.47</v>
      </c>
      <c r="F39" s="339">
        <f t="shared" si="51"/>
        <v>1816</v>
      </c>
      <c r="G39" s="339">
        <f t="shared" si="51"/>
        <v>1904.4543671074373</v>
      </c>
      <c r="H39" s="339">
        <f t="shared" si="51"/>
        <v>1982.4755977300147</v>
      </c>
      <c r="I39" s="344">
        <f t="shared" si="51"/>
        <v>2052.101442550873</v>
      </c>
      <c r="J39" s="340">
        <f aca="true" t="shared" si="52" ref="J39:Q39">SUM(J199:J203)</f>
        <v>2116.0812558868356</v>
      </c>
      <c r="K39" s="340">
        <f t="shared" si="52"/>
        <v>2178.649117235292</v>
      </c>
      <c r="L39" s="340">
        <f t="shared" si="52"/>
        <v>2242.6096632087347</v>
      </c>
      <c r="M39" s="340">
        <f t="shared" si="52"/>
        <v>2307.844489226727</v>
      </c>
      <c r="N39" s="340">
        <f t="shared" si="52"/>
        <v>2372.538441092905</v>
      </c>
      <c r="O39" s="340">
        <f t="shared" si="52"/>
        <v>2435.680995596808</v>
      </c>
      <c r="P39" s="340">
        <f t="shared" si="52"/>
        <v>2495.8229973916173</v>
      </c>
      <c r="Q39" s="345">
        <f t="shared" si="52"/>
        <v>2551.5686732352615</v>
      </c>
    </row>
    <row r="40" spans="1:17" ht="15">
      <c r="A40" s="56" t="s">
        <v>14</v>
      </c>
      <c r="B40" s="339">
        <f>SUM(B204:B208)</f>
        <v>1127</v>
      </c>
      <c r="C40" s="339">
        <f aca="true" t="shared" si="53" ref="C40:I40">SUM(C204:C208)</f>
        <v>1170</v>
      </c>
      <c r="D40" s="339">
        <f t="shared" si="53"/>
        <v>1216</v>
      </c>
      <c r="E40" s="339">
        <f t="shared" si="53"/>
        <v>1265</v>
      </c>
      <c r="F40" s="339">
        <f t="shared" si="53"/>
        <v>1319</v>
      </c>
      <c r="G40" s="339">
        <f t="shared" si="53"/>
        <v>1386.124164151518</v>
      </c>
      <c r="H40" s="339">
        <f t="shared" si="53"/>
        <v>1465.527544320822</v>
      </c>
      <c r="I40" s="344">
        <f t="shared" si="53"/>
        <v>1555.89918838508</v>
      </c>
      <c r="J40" s="340">
        <f aca="true" t="shared" si="54" ref="J40:Q40">SUM(J204:J208)</f>
        <v>1651.7515285571249</v>
      </c>
      <c r="K40" s="340">
        <f t="shared" si="54"/>
        <v>1745.3143557205321</v>
      </c>
      <c r="L40" s="340">
        <f t="shared" si="54"/>
        <v>1831.2035019210346</v>
      </c>
      <c r="M40" s="340">
        <f t="shared" si="54"/>
        <v>1907.459808512684</v>
      </c>
      <c r="N40" s="340">
        <f t="shared" si="54"/>
        <v>1975.7220620599828</v>
      </c>
      <c r="O40" s="340">
        <f t="shared" si="54"/>
        <v>2038.62553118114</v>
      </c>
      <c r="P40" s="340">
        <f t="shared" si="54"/>
        <v>2100.2314762493083</v>
      </c>
      <c r="Q40" s="345">
        <f t="shared" si="54"/>
        <v>2163.227921892828</v>
      </c>
    </row>
    <row r="41" spans="1:17" ht="15">
      <c r="A41" s="56" t="s">
        <v>18</v>
      </c>
      <c r="B41" s="339">
        <f>SUM(B209:B219)</f>
        <v>2631.4809999999998</v>
      </c>
      <c r="C41" s="339">
        <f aca="true" t="shared" si="55" ref="C41:I41">SUM(C209:C219)</f>
        <v>2730.935</v>
      </c>
      <c r="D41" s="339">
        <f t="shared" si="55"/>
        <v>2846.675</v>
      </c>
      <c r="E41" s="339">
        <f t="shared" si="55"/>
        <v>2973.547</v>
      </c>
      <c r="F41" s="339">
        <f t="shared" si="55"/>
        <v>3141.544</v>
      </c>
      <c r="G41" s="339">
        <f t="shared" si="55"/>
        <v>3245.2349649529324</v>
      </c>
      <c r="H41" s="339">
        <f t="shared" si="55"/>
        <v>3357.57940344497</v>
      </c>
      <c r="I41" s="346">
        <f t="shared" si="55"/>
        <v>3474.4494226163115</v>
      </c>
      <c r="J41" s="347">
        <f aca="true" t="shared" si="56" ref="J41:Q41">SUM(J209:J219)</f>
        <v>3599.093642371662</v>
      </c>
      <c r="K41" s="347">
        <f t="shared" si="56"/>
        <v>3629.0990579298896</v>
      </c>
      <c r="L41" s="347">
        <f t="shared" si="56"/>
        <v>3778.407907187273</v>
      </c>
      <c r="M41" s="347">
        <f t="shared" si="56"/>
        <v>3834.8884208585896</v>
      </c>
      <c r="N41" s="347">
        <f t="shared" si="56"/>
        <v>4009.5630963550557</v>
      </c>
      <c r="O41" s="347">
        <f t="shared" si="56"/>
        <v>4087.7861606157758</v>
      </c>
      <c r="P41" s="347">
        <f t="shared" si="56"/>
        <v>4278.877466505301</v>
      </c>
      <c r="Q41" s="348">
        <f t="shared" si="56"/>
        <v>4367.81829973262</v>
      </c>
    </row>
    <row r="42" spans="1:17" ht="15">
      <c r="A42" s="296" t="s">
        <v>15</v>
      </c>
      <c r="B42" s="297">
        <f aca="true" t="shared" si="57" ref="B42:Q42">SUM(B28:B41)</f>
        <v>31588.481</v>
      </c>
      <c r="C42" s="297">
        <f t="shared" si="57"/>
        <v>31825.935</v>
      </c>
      <c r="D42" s="297">
        <f t="shared" si="57"/>
        <v>32068.646</v>
      </c>
      <c r="E42" s="297">
        <f t="shared" si="57"/>
        <v>32301.243</v>
      </c>
      <c r="F42" s="297">
        <f t="shared" si="57"/>
        <v>32543.262000000002</v>
      </c>
      <c r="G42" s="297">
        <f t="shared" si="57"/>
        <v>32704.756545255823</v>
      </c>
      <c r="H42" s="297">
        <f t="shared" si="57"/>
        <v>32872.70656163726</v>
      </c>
      <c r="I42" s="72">
        <f t="shared" si="57"/>
        <v>33032.56875081434</v>
      </c>
      <c r="J42" s="72">
        <f t="shared" si="57"/>
        <v>33184.760029086094</v>
      </c>
      <c r="K42" s="72">
        <f t="shared" si="57"/>
        <v>33222.774569055095</v>
      </c>
      <c r="L42" s="72">
        <f t="shared" si="57"/>
        <v>33357.8941718155</v>
      </c>
      <c r="M42" s="72">
        <f t="shared" si="57"/>
        <v>33377.08099578488</v>
      </c>
      <c r="N42" s="72">
        <f t="shared" si="57"/>
        <v>33489.900003618626</v>
      </c>
      <c r="O42" s="72">
        <f t="shared" si="57"/>
        <v>33484.09092896848</v>
      </c>
      <c r="P42" s="72">
        <f t="shared" si="57"/>
        <v>33572.323450814314</v>
      </c>
      <c r="Q42" s="72">
        <f t="shared" si="57"/>
        <v>33541.99516219974</v>
      </c>
    </row>
    <row r="43" spans="1:17" ht="15">
      <c r="A43" s="1"/>
      <c r="B43" s="1"/>
      <c r="C43" s="1"/>
      <c r="D43" s="1"/>
      <c r="E43" s="1"/>
      <c r="F43" s="37"/>
      <c r="G43" s="1"/>
      <c r="H43" s="1"/>
      <c r="I43" s="1"/>
      <c r="J43" s="1"/>
      <c r="K43" s="1"/>
      <c r="L43" s="1"/>
      <c r="M43" s="1"/>
      <c r="N43" s="1"/>
      <c r="O43" s="1"/>
      <c r="P43" s="1"/>
      <c r="Q43" s="1"/>
    </row>
    <row r="44" spans="1:17" ht="17.25">
      <c r="A44" s="5" t="s">
        <v>21</v>
      </c>
      <c r="B44" s="1"/>
      <c r="C44" s="1"/>
      <c r="D44" s="1"/>
      <c r="E44" s="1"/>
      <c r="F44" s="37"/>
      <c r="G44" s="1"/>
      <c r="H44" s="1"/>
      <c r="I44" s="1"/>
      <c r="J44" s="1"/>
      <c r="K44" s="1"/>
      <c r="L44" s="1"/>
      <c r="M44" s="1"/>
      <c r="N44" s="1"/>
      <c r="O44" s="1"/>
      <c r="P44" s="1"/>
      <c r="Q44" s="1"/>
    </row>
    <row r="45" spans="1:17" ht="15">
      <c r="A45" s="294" t="s">
        <v>1</v>
      </c>
      <c r="B45" s="295">
        <v>2005</v>
      </c>
      <c r="C45" s="295">
        <v>2006</v>
      </c>
      <c r="D45" s="295">
        <v>2007</v>
      </c>
      <c r="E45" s="295">
        <v>2008</v>
      </c>
      <c r="F45" s="295">
        <v>2009</v>
      </c>
      <c r="G45" s="295">
        <v>2010</v>
      </c>
      <c r="H45" s="295">
        <v>2011</v>
      </c>
      <c r="I45" s="295">
        <v>2012</v>
      </c>
      <c r="J45" s="295">
        <v>2013</v>
      </c>
      <c r="K45" s="295">
        <v>2014</v>
      </c>
      <c r="L45" s="295">
        <v>2015</v>
      </c>
      <c r="M45" s="295">
        <v>2016</v>
      </c>
      <c r="N45" s="295">
        <v>2017</v>
      </c>
      <c r="O45" s="295">
        <v>2018</v>
      </c>
      <c r="P45" s="295">
        <v>2019</v>
      </c>
      <c r="Q45" s="295">
        <v>2020</v>
      </c>
    </row>
    <row r="46" spans="1:17" ht="15">
      <c r="A46" s="55" t="s">
        <v>2</v>
      </c>
      <c r="B46" s="339">
        <f>B10+B28</f>
        <v>4280</v>
      </c>
      <c r="C46" s="339">
        <f aca="true" t="shared" si="58" ref="C46:I46">C10+C28</f>
        <v>4198</v>
      </c>
      <c r="D46" s="339">
        <f t="shared" si="58"/>
        <v>4116</v>
      </c>
      <c r="E46" s="339">
        <f t="shared" si="58"/>
        <v>4036</v>
      </c>
      <c r="F46" s="339">
        <f t="shared" si="58"/>
        <v>3954</v>
      </c>
      <c r="G46" s="339">
        <f t="shared" si="58"/>
        <v>3871.5374834269187</v>
      </c>
      <c r="H46" s="339">
        <f t="shared" si="58"/>
        <v>3823.0268476695337</v>
      </c>
      <c r="I46" s="341">
        <f t="shared" si="58"/>
        <v>3783.2358407361744</v>
      </c>
      <c r="J46" s="342">
        <f aca="true" t="shared" si="59" ref="J46:Q46">J10+J28</f>
        <v>3752.7014181255054</v>
      </c>
      <c r="K46" s="342">
        <f t="shared" si="59"/>
        <v>3732.528075512785</v>
      </c>
      <c r="L46" s="342">
        <f t="shared" si="59"/>
        <v>3725.267943249315</v>
      </c>
      <c r="M46" s="342">
        <f t="shared" si="59"/>
        <v>3695.0085007018542</v>
      </c>
      <c r="N46" s="342">
        <f t="shared" si="59"/>
        <v>3661.5547771932083</v>
      </c>
      <c r="O46" s="342">
        <f t="shared" si="59"/>
        <v>3624.5922222707322</v>
      </c>
      <c r="P46" s="342">
        <f t="shared" si="59"/>
        <v>3583.7322639174517</v>
      </c>
      <c r="Q46" s="343">
        <f t="shared" si="59"/>
        <v>3538.5365346927724</v>
      </c>
    </row>
    <row r="47" spans="1:17" ht="15">
      <c r="A47" s="56" t="s">
        <v>3</v>
      </c>
      <c r="B47" s="339">
        <f>B11+B29</f>
        <v>4557</v>
      </c>
      <c r="C47" s="339">
        <f aca="true" t="shared" si="60" ref="C47:I47">C11+C29</f>
        <v>4512</v>
      </c>
      <c r="D47" s="339">
        <f t="shared" si="60"/>
        <v>4452.601000000001</v>
      </c>
      <c r="E47" s="339">
        <f t="shared" si="60"/>
        <v>4382</v>
      </c>
      <c r="F47" s="339">
        <f t="shared" si="60"/>
        <v>4307.597</v>
      </c>
      <c r="G47" s="339">
        <f t="shared" si="60"/>
        <v>4231.682662251491</v>
      </c>
      <c r="H47" s="339">
        <f t="shared" si="60"/>
        <v>4155.614169711704</v>
      </c>
      <c r="I47" s="344">
        <f t="shared" si="60"/>
        <v>4080.2023226543915</v>
      </c>
      <c r="J47" s="340">
        <f aca="true" t="shared" si="61" ref="J47:Q47">J11+J29</f>
        <v>4004.164082036764</v>
      </c>
      <c r="K47" s="340">
        <f t="shared" si="61"/>
        <v>3926.9393395439815</v>
      </c>
      <c r="L47" s="340">
        <f t="shared" si="61"/>
        <v>3846.4718408778253</v>
      </c>
      <c r="M47" s="340">
        <f t="shared" si="61"/>
        <v>3799.1794386949077</v>
      </c>
      <c r="N47" s="340">
        <f t="shared" si="61"/>
        <v>3760.113226779995</v>
      </c>
      <c r="O47" s="340">
        <f t="shared" si="61"/>
        <v>3730.26950729299</v>
      </c>
      <c r="P47" s="340">
        <f t="shared" si="61"/>
        <v>3710.750820691871</v>
      </c>
      <c r="Q47" s="345">
        <f t="shared" si="61"/>
        <v>3704.103967557412</v>
      </c>
    </row>
    <row r="48" spans="1:17" ht="15">
      <c r="A48" s="56" t="s">
        <v>4</v>
      </c>
      <c r="B48" s="339">
        <f>B12+B30</f>
        <v>4608</v>
      </c>
      <c r="C48" s="339">
        <f aca="true" t="shared" si="62" ref="C48:I48">C12+C30</f>
        <v>4622</v>
      </c>
      <c r="D48" s="339">
        <f t="shared" si="62"/>
        <v>4622</v>
      </c>
      <c r="E48" s="339">
        <f t="shared" si="62"/>
        <v>4606</v>
      </c>
      <c r="F48" s="339">
        <f t="shared" si="62"/>
        <v>4577</v>
      </c>
      <c r="G48" s="339">
        <f t="shared" si="62"/>
        <v>4539.628603203882</v>
      </c>
      <c r="H48" s="339">
        <f t="shared" si="62"/>
        <v>4491.206913625898</v>
      </c>
      <c r="I48" s="344">
        <f t="shared" si="62"/>
        <v>4432.325998916669</v>
      </c>
      <c r="J48" s="340">
        <f aca="true" t="shared" si="63" ref="J48:Q48">J12+J30</f>
        <v>4365.838073449767</v>
      </c>
      <c r="K48" s="340">
        <f t="shared" si="63"/>
        <v>4294.642753221913</v>
      </c>
      <c r="L48" s="340">
        <f t="shared" si="63"/>
        <v>4221.065341849466</v>
      </c>
      <c r="M48" s="340">
        <f t="shared" si="63"/>
        <v>4146.499788014913</v>
      </c>
      <c r="N48" s="340">
        <f t="shared" si="63"/>
        <v>4071.457228393828</v>
      </c>
      <c r="O48" s="340">
        <f t="shared" si="63"/>
        <v>3995.777240537297</v>
      </c>
      <c r="P48" s="340">
        <f t="shared" si="63"/>
        <v>3918.9013431627177</v>
      </c>
      <c r="Q48" s="345">
        <f t="shared" si="63"/>
        <v>3838.778282035062</v>
      </c>
    </row>
    <row r="49" spans="1:17" ht="15">
      <c r="A49" s="56" t="s">
        <v>5</v>
      </c>
      <c r="B49" s="339">
        <f aca="true" t="shared" si="64" ref="B49:H59">B13+B31</f>
        <v>4386</v>
      </c>
      <c r="C49" s="339">
        <f t="shared" si="64"/>
        <v>4409</v>
      </c>
      <c r="D49" s="339">
        <f t="shared" si="64"/>
        <v>4454</v>
      </c>
      <c r="E49" s="339">
        <f t="shared" si="64"/>
        <v>4510</v>
      </c>
      <c r="F49" s="339">
        <f t="shared" si="64"/>
        <v>4561</v>
      </c>
      <c r="G49" s="339">
        <f t="shared" si="64"/>
        <v>4599.578354795385</v>
      </c>
      <c r="H49" s="339">
        <f t="shared" si="64"/>
        <v>4614.137930555293</v>
      </c>
      <c r="I49" s="344">
        <f aca="true" t="shared" si="65" ref="I49:Q49">I13+I31</f>
        <v>4611.235623489823</v>
      </c>
      <c r="J49" s="340">
        <f t="shared" si="65"/>
        <v>4592.488415908667</v>
      </c>
      <c r="K49" s="340">
        <f t="shared" si="65"/>
        <v>4561.913791127821</v>
      </c>
      <c r="L49" s="340">
        <f t="shared" si="65"/>
        <v>4522.658123274118</v>
      </c>
      <c r="M49" s="340">
        <f t="shared" si="65"/>
        <v>4474.363866630976</v>
      </c>
      <c r="N49" s="340">
        <f t="shared" si="65"/>
        <v>4416.066818300591</v>
      </c>
      <c r="O49" s="340">
        <f t="shared" si="65"/>
        <v>4350.176184595131</v>
      </c>
      <c r="P49" s="340">
        <f t="shared" si="65"/>
        <v>4279.579076381127</v>
      </c>
      <c r="Q49" s="345">
        <f t="shared" si="65"/>
        <v>4206.590665194875</v>
      </c>
    </row>
    <row r="50" spans="1:17" ht="15">
      <c r="A50" s="56" t="s">
        <v>6</v>
      </c>
      <c r="B50" s="339">
        <f t="shared" si="64"/>
        <v>4620</v>
      </c>
      <c r="C50" s="339">
        <f t="shared" si="64"/>
        <v>4532</v>
      </c>
      <c r="D50" s="339">
        <f t="shared" si="64"/>
        <v>4460</v>
      </c>
      <c r="E50" s="339">
        <f t="shared" si="64"/>
        <v>4409</v>
      </c>
      <c r="F50" s="339">
        <f t="shared" si="64"/>
        <v>4376</v>
      </c>
      <c r="G50" s="339">
        <f t="shared" si="64"/>
        <v>4370.31387282671</v>
      </c>
      <c r="H50" s="339">
        <f t="shared" si="64"/>
        <v>4389.256620285821</v>
      </c>
      <c r="I50" s="344">
        <f aca="true" t="shared" si="66" ref="I50:Q50">I14+I32</f>
        <v>4431.41746827538</v>
      </c>
      <c r="J50" s="340">
        <f t="shared" si="66"/>
        <v>4485.799688317036</v>
      </c>
      <c r="K50" s="340">
        <f t="shared" si="66"/>
        <v>4536.340560721199</v>
      </c>
      <c r="L50" s="340">
        <f t="shared" si="66"/>
        <v>4571.213237251857</v>
      </c>
      <c r="M50" s="340">
        <f t="shared" si="66"/>
        <v>4586.460551363312</v>
      </c>
      <c r="N50" s="340">
        <f t="shared" si="66"/>
        <v>4584.174140153478</v>
      </c>
      <c r="O50" s="340">
        <f t="shared" si="66"/>
        <v>4566.121613210394</v>
      </c>
      <c r="P50" s="340">
        <f t="shared" si="66"/>
        <v>4536.2906484293235</v>
      </c>
      <c r="Q50" s="345">
        <f t="shared" si="66"/>
        <v>4497.8051603664935</v>
      </c>
    </row>
    <row r="51" spans="1:17" ht="15">
      <c r="A51" s="56" t="s">
        <v>7</v>
      </c>
      <c r="B51" s="339">
        <f t="shared" si="64"/>
        <v>5185</v>
      </c>
      <c r="C51" s="339">
        <f t="shared" si="64"/>
        <v>5086</v>
      </c>
      <c r="D51" s="339">
        <f t="shared" si="64"/>
        <v>4968</v>
      </c>
      <c r="E51" s="339">
        <f t="shared" si="64"/>
        <v>4836.614</v>
      </c>
      <c r="F51" s="339">
        <f t="shared" si="64"/>
        <v>4714</v>
      </c>
      <c r="G51" s="339">
        <f t="shared" si="64"/>
        <v>4606.098188561142</v>
      </c>
      <c r="H51" s="339">
        <f t="shared" si="64"/>
        <v>4510.443816546418</v>
      </c>
      <c r="I51" s="344">
        <f aca="true" t="shared" si="67" ref="I51:Q51">I15+I33</f>
        <v>4432.767350974402</v>
      </c>
      <c r="J51" s="340">
        <f t="shared" si="67"/>
        <v>4375.771572625499</v>
      </c>
      <c r="K51" s="340">
        <f t="shared" si="67"/>
        <v>4342.5304766729405</v>
      </c>
      <c r="L51" s="340">
        <f t="shared" si="67"/>
        <v>4334.071579399595</v>
      </c>
      <c r="M51" s="340">
        <f t="shared" si="67"/>
        <v>4352.782915284208</v>
      </c>
      <c r="N51" s="340">
        <f t="shared" si="67"/>
        <v>4395.408428835113</v>
      </c>
      <c r="O51" s="340">
        <f t="shared" si="67"/>
        <v>4450.1321317445145</v>
      </c>
      <c r="P51" s="340">
        <f t="shared" si="67"/>
        <v>4501.024000222167</v>
      </c>
      <c r="Q51" s="345">
        <f t="shared" si="67"/>
        <v>4536.352912985753</v>
      </c>
    </row>
    <row r="52" spans="1:17" ht="15">
      <c r="A52" s="56" t="s">
        <v>8</v>
      </c>
      <c r="B52" s="339">
        <f t="shared" si="64"/>
        <v>5356</v>
      </c>
      <c r="C52" s="339">
        <f t="shared" si="64"/>
        <v>5315</v>
      </c>
      <c r="D52" s="339">
        <f t="shared" si="64"/>
        <v>5289.37</v>
      </c>
      <c r="E52" s="339">
        <f t="shared" si="64"/>
        <v>5265.612</v>
      </c>
      <c r="F52" s="339">
        <f t="shared" si="64"/>
        <v>5223</v>
      </c>
      <c r="G52" s="339">
        <f t="shared" si="64"/>
        <v>5152.907962065686</v>
      </c>
      <c r="H52" s="339">
        <f t="shared" si="64"/>
        <v>5050.5783752052885</v>
      </c>
      <c r="I52" s="344">
        <f aca="true" t="shared" si="68" ref="I52:Q52">I16+I34</f>
        <v>4926.677675104783</v>
      </c>
      <c r="J52" s="340">
        <f t="shared" si="68"/>
        <v>4792.283890789415</v>
      </c>
      <c r="K52" s="340">
        <f t="shared" si="68"/>
        <v>4663.256491558779</v>
      </c>
      <c r="L52" s="340">
        <f t="shared" si="68"/>
        <v>4551.5209565497335</v>
      </c>
      <c r="M52" s="340">
        <f t="shared" si="68"/>
        <v>4458.787220481998</v>
      </c>
      <c r="N52" s="340">
        <f t="shared" si="68"/>
        <v>4383.055809113668</v>
      </c>
      <c r="O52" s="340">
        <f t="shared" si="68"/>
        <v>4327.7179350141705</v>
      </c>
      <c r="P52" s="340">
        <f t="shared" si="68"/>
        <v>4295.838751516529</v>
      </c>
      <c r="Q52" s="345">
        <f t="shared" si="68"/>
        <v>4288.453708641497</v>
      </c>
    </row>
    <row r="53" spans="1:17" ht="15">
      <c r="A53" s="56" t="s">
        <v>9</v>
      </c>
      <c r="B53" s="339">
        <f t="shared" si="64"/>
        <v>5603</v>
      </c>
      <c r="C53" s="339">
        <f t="shared" si="64"/>
        <v>5589</v>
      </c>
      <c r="D53" s="339">
        <f t="shared" si="64"/>
        <v>5534</v>
      </c>
      <c r="E53" s="339">
        <f t="shared" si="64"/>
        <v>5453</v>
      </c>
      <c r="F53" s="339">
        <f t="shared" si="64"/>
        <v>5376</v>
      </c>
      <c r="G53" s="339">
        <f t="shared" si="64"/>
        <v>5309.107442034461</v>
      </c>
      <c r="H53" s="339">
        <f t="shared" si="64"/>
        <v>5261.000563729278</v>
      </c>
      <c r="I53" s="344">
        <f aca="true" t="shared" si="69" ref="I53:Q53">I17+I35</f>
        <v>5227.290187244739</v>
      </c>
      <c r="J53" s="340">
        <f t="shared" si="69"/>
        <v>5197.070759428891</v>
      </c>
      <c r="K53" s="340">
        <f t="shared" si="69"/>
        <v>5152.588483298978</v>
      </c>
      <c r="L53" s="340">
        <f t="shared" si="69"/>
        <v>5082.1133159813535</v>
      </c>
      <c r="M53" s="340">
        <f t="shared" si="69"/>
        <v>4982.728802538111</v>
      </c>
      <c r="N53" s="340">
        <f t="shared" si="69"/>
        <v>4861.797696695712</v>
      </c>
      <c r="O53" s="340">
        <f t="shared" si="69"/>
        <v>4730.414263769117</v>
      </c>
      <c r="P53" s="340">
        <f t="shared" si="69"/>
        <v>4604.23486839178</v>
      </c>
      <c r="Q53" s="345">
        <f t="shared" si="69"/>
        <v>4495.044109744993</v>
      </c>
    </row>
    <row r="54" spans="1:17" ht="15">
      <c r="A54" s="56" t="s">
        <v>10</v>
      </c>
      <c r="B54" s="339">
        <f t="shared" si="64"/>
        <v>5198</v>
      </c>
      <c r="C54" s="339">
        <f t="shared" si="64"/>
        <v>5301</v>
      </c>
      <c r="D54" s="339">
        <f t="shared" si="64"/>
        <v>5398</v>
      </c>
      <c r="E54" s="339">
        <f t="shared" si="64"/>
        <v>5483</v>
      </c>
      <c r="F54" s="339">
        <f t="shared" si="64"/>
        <v>5533</v>
      </c>
      <c r="G54" s="339">
        <f t="shared" si="64"/>
        <v>5543.212037436604</v>
      </c>
      <c r="H54" s="339">
        <f t="shared" si="64"/>
        <v>5515.679016744106</v>
      </c>
      <c r="I54" s="344">
        <f aca="true" t="shared" si="70" ref="I54:Q54">I18+I36</f>
        <v>5454.772264980969</v>
      </c>
      <c r="J54" s="340">
        <f t="shared" si="70"/>
        <v>5374.444569222409</v>
      </c>
      <c r="K54" s="340">
        <f t="shared" si="70"/>
        <v>5294.08911799322</v>
      </c>
      <c r="L54" s="340">
        <f t="shared" si="70"/>
        <v>5227.160102352467</v>
      </c>
      <c r="M54" s="340">
        <f t="shared" si="70"/>
        <v>5180.3136386717815</v>
      </c>
      <c r="N54" s="340">
        <f t="shared" si="70"/>
        <v>5148.705451373741</v>
      </c>
      <c r="O54" s="340">
        <f t="shared" si="70"/>
        <v>5120.456472873577</v>
      </c>
      <c r="P54" s="340">
        <f t="shared" si="70"/>
        <v>5078.072262170509</v>
      </c>
      <c r="Q54" s="345">
        <f t="shared" si="70"/>
        <v>5009.985084294172</v>
      </c>
    </row>
    <row r="55" spans="1:17" ht="15">
      <c r="A55" s="56" t="s">
        <v>11</v>
      </c>
      <c r="B55" s="339">
        <f t="shared" si="64"/>
        <v>4507</v>
      </c>
      <c r="C55" s="339">
        <f t="shared" si="64"/>
        <v>4642</v>
      </c>
      <c r="D55" s="339">
        <f t="shared" si="64"/>
        <v>4774</v>
      </c>
      <c r="E55" s="339">
        <f t="shared" si="64"/>
        <v>4894</v>
      </c>
      <c r="F55" s="339">
        <f t="shared" si="64"/>
        <v>5015</v>
      </c>
      <c r="G55" s="339">
        <f t="shared" si="64"/>
        <v>5122.1985751200455</v>
      </c>
      <c r="H55" s="339">
        <f t="shared" si="64"/>
        <v>5218.378638517253</v>
      </c>
      <c r="I55" s="344">
        <f aca="true" t="shared" si="71" ref="I55:Q55">I19+I37</f>
        <v>5306.443477070861</v>
      </c>
      <c r="J55" s="340">
        <f t="shared" si="71"/>
        <v>5378.102320948422</v>
      </c>
      <c r="K55" s="340">
        <f t="shared" si="71"/>
        <v>5423.205538697848</v>
      </c>
      <c r="L55" s="340">
        <f t="shared" si="71"/>
        <v>5435.516766313087</v>
      </c>
      <c r="M55" s="340">
        <f t="shared" si="71"/>
        <v>5410.51258896798</v>
      </c>
      <c r="N55" s="340">
        <f t="shared" si="71"/>
        <v>5352.6612199502715</v>
      </c>
      <c r="O55" s="340">
        <f t="shared" si="71"/>
        <v>5275.689798907751</v>
      </c>
      <c r="P55" s="340">
        <f t="shared" si="71"/>
        <v>5198.628506734112</v>
      </c>
      <c r="Q55" s="345">
        <f t="shared" si="71"/>
        <v>5134.684987760717</v>
      </c>
    </row>
    <row r="56" spans="1:17" ht="15">
      <c r="A56" s="56" t="s">
        <v>12</v>
      </c>
      <c r="B56" s="339">
        <f t="shared" si="64"/>
        <v>3723</v>
      </c>
      <c r="C56" s="339">
        <f t="shared" si="64"/>
        <v>3885</v>
      </c>
      <c r="D56" s="339">
        <f t="shared" si="64"/>
        <v>4034</v>
      </c>
      <c r="E56" s="339">
        <f t="shared" si="64"/>
        <v>4166</v>
      </c>
      <c r="F56" s="339">
        <f t="shared" si="64"/>
        <v>4285.839</v>
      </c>
      <c r="G56" s="339">
        <f t="shared" si="64"/>
        <v>4411.677867321607</v>
      </c>
      <c r="H56" s="339">
        <f t="shared" si="64"/>
        <v>4533.341551960095</v>
      </c>
      <c r="I56" s="344">
        <f aca="true" t="shared" si="72" ref="I56:Q56">I20+I38</f>
        <v>4654.344794515502</v>
      </c>
      <c r="J56" s="340">
        <f t="shared" si="72"/>
        <v>4772.376046172098</v>
      </c>
      <c r="K56" s="340">
        <f t="shared" si="72"/>
        <v>4884.588743192056</v>
      </c>
      <c r="L56" s="340">
        <f t="shared" si="72"/>
        <v>4988.282083734834</v>
      </c>
      <c r="M56" s="340">
        <f t="shared" si="72"/>
        <v>5084.788756067301</v>
      </c>
      <c r="N56" s="340">
        <f t="shared" si="72"/>
        <v>5173.034200061056</v>
      </c>
      <c r="O56" s="340">
        <f t="shared" si="72"/>
        <v>5245.269620957275</v>
      </c>
      <c r="P56" s="340">
        <f t="shared" si="72"/>
        <v>5291.552041430596</v>
      </c>
      <c r="Q56" s="345">
        <f t="shared" si="72"/>
        <v>5305.763651600512</v>
      </c>
    </row>
    <row r="57" spans="1:17" ht="15">
      <c r="A57" s="56" t="s">
        <v>13</v>
      </c>
      <c r="B57" s="339">
        <f t="shared" si="64"/>
        <v>2753</v>
      </c>
      <c r="C57" s="339">
        <f t="shared" si="64"/>
        <v>2904</v>
      </c>
      <c r="D57" s="339">
        <f t="shared" si="64"/>
        <v>3079</v>
      </c>
      <c r="E57" s="339">
        <f t="shared" si="64"/>
        <v>3271.4700000000003</v>
      </c>
      <c r="F57" s="339">
        <f t="shared" si="64"/>
        <v>3458.1769999999997</v>
      </c>
      <c r="G57" s="339">
        <f t="shared" si="64"/>
        <v>3625.454367107437</v>
      </c>
      <c r="H57" s="339">
        <f t="shared" si="64"/>
        <v>3768.8469958879896</v>
      </c>
      <c r="I57" s="344">
        <f aca="true" t="shared" si="73" ref="I57:Q57">I21+I39</f>
        <v>3897.2080685558276</v>
      </c>
      <c r="J57" s="340">
        <f t="shared" si="73"/>
        <v>4014.951692454404</v>
      </c>
      <c r="K57" s="340">
        <f t="shared" si="73"/>
        <v>4130.114248336424</v>
      </c>
      <c r="L57" s="340">
        <f t="shared" si="73"/>
        <v>4247.98078187019</v>
      </c>
      <c r="M57" s="340">
        <f t="shared" si="73"/>
        <v>4368.344393131487</v>
      </c>
      <c r="N57" s="340">
        <f t="shared" si="73"/>
        <v>4487.809749451384</v>
      </c>
      <c r="O57" s="340">
        <f t="shared" si="73"/>
        <v>4604.460043798812</v>
      </c>
      <c r="P57" s="340">
        <f t="shared" si="73"/>
        <v>4715.555028829538</v>
      </c>
      <c r="Q57" s="345">
        <f t="shared" si="73"/>
        <v>4818.484199653158</v>
      </c>
    </row>
    <row r="58" spans="1:17" ht="15">
      <c r="A58" s="56" t="s">
        <v>14</v>
      </c>
      <c r="B58" s="339">
        <f t="shared" si="64"/>
        <v>2162</v>
      </c>
      <c r="C58" s="339">
        <f t="shared" si="64"/>
        <v>2237</v>
      </c>
      <c r="D58" s="339">
        <f t="shared" si="64"/>
        <v>2317</v>
      </c>
      <c r="E58" s="339">
        <f t="shared" si="64"/>
        <v>2398</v>
      </c>
      <c r="F58" s="339">
        <f t="shared" si="64"/>
        <v>2495</v>
      </c>
      <c r="G58" s="339">
        <f t="shared" si="64"/>
        <v>2616.124164151518</v>
      </c>
      <c r="H58" s="339">
        <f t="shared" si="64"/>
        <v>2763.818024282911</v>
      </c>
      <c r="I58" s="344">
        <f aca="true" t="shared" si="74" ref="I58:Q58">I22+I40</f>
        <v>2931.4819416927776</v>
      </c>
      <c r="J58" s="340">
        <f t="shared" si="74"/>
        <v>3108.86203015557</v>
      </c>
      <c r="K58" s="340">
        <f t="shared" si="74"/>
        <v>3281.4832922869864</v>
      </c>
      <c r="L58" s="340">
        <f t="shared" si="74"/>
        <v>3439.44874120254</v>
      </c>
      <c r="M58" s="340">
        <f t="shared" si="74"/>
        <v>3579.277629167165</v>
      </c>
      <c r="N58" s="340">
        <f t="shared" si="74"/>
        <v>3704.169244744284</v>
      </c>
      <c r="O58" s="340">
        <f t="shared" si="74"/>
        <v>3819.1455527528565</v>
      </c>
      <c r="P58" s="340">
        <f t="shared" si="74"/>
        <v>3931.8110123851</v>
      </c>
      <c r="Q58" s="345">
        <f t="shared" si="74"/>
        <v>4047.161706830785</v>
      </c>
    </row>
    <row r="59" spans="1:17" ht="15">
      <c r="A59" s="56" t="s">
        <v>18</v>
      </c>
      <c r="B59" s="339">
        <f t="shared" si="64"/>
        <v>4820.481</v>
      </c>
      <c r="C59" s="339">
        <f t="shared" si="64"/>
        <v>5016.9349999999995</v>
      </c>
      <c r="D59" s="339">
        <f t="shared" si="64"/>
        <v>5208.675</v>
      </c>
      <c r="E59" s="339">
        <f t="shared" si="64"/>
        <v>5392.5470000000005</v>
      </c>
      <c r="F59" s="339">
        <f t="shared" si="64"/>
        <v>5626.544</v>
      </c>
      <c r="G59" s="339">
        <f t="shared" si="64"/>
        <v>5791.234964952932</v>
      </c>
      <c r="H59" s="339">
        <f t="shared" si="64"/>
        <v>5987.091749479582</v>
      </c>
      <c r="I59" s="346">
        <f aca="true" t="shared" si="75" ref="I59:Q59">I23+I41</f>
        <v>6190.784647043034</v>
      </c>
      <c r="J59" s="347">
        <f t="shared" si="75"/>
        <v>6408.190309921789</v>
      </c>
      <c r="K59" s="347">
        <f t="shared" si="75"/>
        <v>6540.349178368918</v>
      </c>
      <c r="L59" s="347">
        <f t="shared" si="75"/>
        <v>6803.368891467117</v>
      </c>
      <c r="M59" s="347">
        <f t="shared" si="75"/>
        <v>6985.758843017745</v>
      </c>
      <c r="N59" s="347">
        <f t="shared" si="75"/>
        <v>7297.283050366183</v>
      </c>
      <c r="O59" s="347">
        <f t="shared" si="75"/>
        <v>7521.178364622554</v>
      </c>
      <c r="P59" s="347">
        <f t="shared" si="75"/>
        <v>7863.848689232724</v>
      </c>
      <c r="Q59" s="348">
        <f t="shared" si="75"/>
        <v>8108.160311313708</v>
      </c>
    </row>
    <row r="60" spans="1:18" ht="15">
      <c r="A60" s="296" t="s">
        <v>15</v>
      </c>
      <c r="B60" s="297">
        <f aca="true" t="shared" si="76" ref="B60:Q60">SUM(B46:B59)</f>
        <v>61758.481</v>
      </c>
      <c r="C60" s="297">
        <f t="shared" si="76"/>
        <v>62248.935</v>
      </c>
      <c r="D60" s="297">
        <f t="shared" si="76"/>
        <v>62706.64600000001</v>
      </c>
      <c r="E60" s="297">
        <f t="shared" si="76"/>
        <v>63103.243</v>
      </c>
      <c r="F60" s="297">
        <f t="shared" si="76"/>
        <v>63502.157</v>
      </c>
      <c r="G60" s="297">
        <f t="shared" si="76"/>
        <v>63790.75654525583</v>
      </c>
      <c r="H60" s="297">
        <f>SUM(H46:H59)</f>
        <v>64082.42121420116</v>
      </c>
      <c r="I60" s="297">
        <f t="shared" si="76"/>
        <v>64360.18766125533</v>
      </c>
      <c r="J60" s="297">
        <f t="shared" si="76"/>
        <v>64623.04486955623</v>
      </c>
      <c r="K60" s="297">
        <f t="shared" si="76"/>
        <v>64764.57009053384</v>
      </c>
      <c r="L60" s="297">
        <f t="shared" si="76"/>
        <v>64996.1397053735</v>
      </c>
      <c r="M60" s="297">
        <f t="shared" si="76"/>
        <v>65104.80693273373</v>
      </c>
      <c r="N60" s="297">
        <f t="shared" si="76"/>
        <v>65297.291041412514</v>
      </c>
      <c r="O60" s="297">
        <f t="shared" si="76"/>
        <v>65361.40095234717</v>
      </c>
      <c r="P60" s="297">
        <f t="shared" si="76"/>
        <v>65509.81931349555</v>
      </c>
      <c r="Q60" s="297">
        <f t="shared" si="76"/>
        <v>65529.90528267191</v>
      </c>
      <c r="R60" s="203"/>
    </row>
    <row r="61" spans="1:17" ht="15">
      <c r="A61" s="1"/>
      <c r="B61" s="1"/>
      <c r="C61" s="1"/>
      <c r="D61" s="1"/>
      <c r="E61" s="1"/>
      <c r="F61" s="37"/>
      <c r="G61" s="1"/>
      <c r="H61" s="132"/>
      <c r="I61" s="1"/>
      <c r="J61" s="1"/>
      <c r="K61" s="1"/>
      <c r="L61" s="1"/>
      <c r="M61" s="1"/>
      <c r="N61" s="1"/>
      <c r="O61" s="1"/>
      <c r="P61" s="1"/>
      <c r="Q61" s="1"/>
    </row>
    <row r="62" spans="1:17" ht="17.25">
      <c r="A62" s="593" t="s">
        <v>22</v>
      </c>
      <c r="B62" s="594"/>
      <c r="C62" s="594"/>
      <c r="D62" s="594"/>
      <c r="E62" s="594"/>
      <c r="F62" s="594"/>
      <c r="G62" s="594"/>
      <c r="H62" s="594"/>
      <c r="I62" s="38"/>
      <c r="J62" s="38"/>
      <c r="K62" s="38"/>
      <c r="L62" s="38"/>
      <c r="M62" s="38"/>
      <c r="N62" s="38"/>
      <c r="O62" s="38"/>
      <c r="P62" s="38"/>
      <c r="Q62" s="38"/>
    </row>
    <row r="63" spans="1:17" ht="15">
      <c r="A63" s="298" t="s">
        <v>1</v>
      </c>
      <c r="B63" s="298">
        <v>2005</v>
      </c>
      <c r="C63" s="298">
        <v>2006</v>
      </c>
      <c r="D63" s="298">
        <v>2007</v>
      </c>
      <c r="E63" s="298">
        <v>2008</v>
      </c>
      <c r="F63" s="298">
        <v>2009</v>
      </c>
      <c r="G63" s="298">
        <v>2010</v>
      </c>
      <c r="H63" s="73">
        <v>2011</v>
      </c>
      <c r="I63" s="298">
        <v>2012</v>
      </c>
      <c r="J63" s="298">
        <v>2013</v>
      </c>
      <c r="K63" s="298">
        <v>2014</v>
      </c>
      <c r="L63" s="298">
        <v>2015</v>
      </c>
      <c r="M63" s="298">
        <v>2016</v>
      </c>
      <c r="N63" s="298">
        <v>2017</v>
      </c>
      <c r="O63" s="298">
        <v>2018</v>
      </c>
      <c r="P63" s="298">
        <v>2019</v>
      </c>
      <c r="Q63" s="298">
        <v>2020</v>
      </c>
    </row>
    <row r="64" spans="1:17" ht="15">
      <c r="A64" s="57">
        <v>0</v>
      </c>
      <c r="B64" s="352">
        <v>423</v>
      </c>
      <c r="C64" s="353">
        <v>415</v>
      </c>
      <c r="D64" s="353">
        <v>407</v>
      </c>
      <c r="E64" s="353">
        <v>399</v>
      </c>
      <c r="F64" s="353">
        <v>391</v>
      </c>
      <c r="G64" s="339">
        <v>382</v>
      </c>
      <c r="H64" s="356">
        <v>390.4598146026554</v>
      </c>
      <c r="I64" s="342">
        <v>386.71145452523075</v>
      </c>
      <c r="J64" s="342">
        <v>383.28649969766593</v>
      </c>
      <c r="K64" s="342">
        <v>380.1589971589887</v>
      </c>
      <c r="L64" s="342">
        <v>377.30103080930076</v>
      </c>
      <c r="M64" s="342">
        <v>374.67121419957226</v>
      </c>
      <c r="N64" s="342">
        <v>369.30550587427655</v>
      </c>
      <c r="O64" s="342">
        <v>364.0879378221365</v>
      </c>
      <c r="P64" s="342">
        <v>358.96169149066395</v>
      </c>
      <c r="Q64" s="343">
        <v>353.8750974375782</v>
      </c>
    </row>
    <row r="65" spans="1:17" ht="15">
      <c r="A65" s="57">
        <v>1</v>
      </c>
      <c r="B65" s="355">
        <v>430</v>
      </c>
      <c r="C65" s="339">
        <v>422</v>
      </c>
      <c r="D65" s="359">
        <v>414</v>
      </c>
      <c r="E65" s="339">
        <v>406</v>
      </c>
      <c r="F65" s="339">
        <v>398</v>
      </c>
      <c r="G65" s="339">
        <v>390</v>
      </c>
      <c r="H65" s="356">
        <v>380.0906015933893</v>
      </c>
      <c r="I65" s="340">
        <v>388.270191465361</v>
      </c>
      <c r="J65" s="340">
        <v>384.60005407670224</v>
      </c>
      <c r="K65" s="340">
        <v>381.24907434075675</v>
      </c>
      <c r="L65" s="340">
        <v>378.19167631650623</v>
      </c>
      <c r="M65" s="340">
        <v>375.400302746672</v>
      </c>
      <c r="N65" s="340">
        <v>372.83396507033973</v>
      </c>
      <c r="O65" s="340">
        <v>367.5429364341363</v>
      </c>
      <c r="P65" s="340">
        <v>362.3968747113677</v>
      </c>
      <c r="Q65" s="345">
        <v>357.33936480975194</v>
      </c>
    </row>
    <row r="66" spans="1:17" ht="15">
      <c r="A66" s="57">
        <v>2</v>
      </c>
      <c r="B66" s="355">
        <v>437</v>
      </c>
      <c r="C66" s="339">
        <v>429</v>
      </c>
      <c r="D66" s="339">
        <v>421</v>
      </c>
      <c r="E66" s="339">
        <v>413</v>
      </c>
      <c r="F66" s="339">
        <v>405</v>
      </c>
      <c r="G66" s="339">
        <v>397</v>
      </c>
      <c r="H66" s="356">
        <v>388.5910399058185</v>
      </c>
      <c r="I66" s="340">
        <v>379.051268292172</v>
      </c>
      <c r="J66" s="340">
        <v>387.23511825436657</v>
      </c>
      <c r="K66" s="340">
        <v>383.60047895694373</v>
      </c>
      <c r="L66" s="340">
        <v>380.2830733008878</v>
      </c>
      <c r="M66" s="340">
        <v>377.25749509644874</v>
      </c>
      <c r="N66" s="340">
        <v>374.4963493993216</v>
      </c>
      <c r="O66" s="340">
        <v>371.95882968465276</v>
      </c>
      <c r="P66" s="340">
        <v>366.70203189001313</v>
      </c>
      <c r="Q66" s="345">
        <v>361.5887717579904</v>
      </c>
    </row>
    <row r="67" spans="1:17" ht="15">
      <c r="A67" s="57">
        <v>3</v>
      </c>
      <c r="B67" s="355">
        <v>443</v>
      </c>
      <c r="C67" s="339">
        <v>436</v>
      </c>
      <c r="D67" s="339">
        <v>428</v>
      </c>
      <c r="E67" s="339">
        <v>420</v>
      </c>
      <c r="F67" s="339">
        <v>412</v>
      </c>
      <c r="G67" s="339">
        <v>404</v>
      </c>
      <c r="H67" s="356">
        <v>396.01047346241916</v>
      </c>
      <c r="I67" s="340">
        <v>387.78567677703984</v>
      </c>
      <c r="J67" s="340">
        <v>378.2851664656851</v>
      </c>
      <c r="K67" s="340">
        <v>386.471887791114</v>
      </c>
      <c r="L67" s="340">
        <v>382.8631702735519</v>
      </c>
      <c r="M67" s="340">
        <v>379.5702900470279</v>
      </c>
      <c r="N67" s="340">
        <v>376.56796370009766</v>
      </c>
      <c r="O67" s="340">
        <v>373.82891393728767</v>
      </c>
      <c r="P67" s="340">
        <v>371.3124667689817</v>
      </c>
      <c r="Q67" s="345">
        <v>366.0807572777747</v>
      </c>
    </row>
    <row r="68" spans="1:17" ht="15">
      <c r="A68" s="57">
        <v>4</v>
      </c>
      <c r="B68" s="355">
        <v>450</v>
      </c>
      <c r="C68" s="339">
        <v>442</v>
      </c>
      <c r="D68" s="339">
        <v>435</v>
      </c>
      <c r="E68" s="339">
        <v>427</v>
      </c>
      <c r="F68" s="339">
        <v>419</v>
      </c>
      <c r="G68" s="339">
        <v>411</v>
      </c>
      <c r="H68" s="356">
        <v>403.21685720361535</v>
      </c>
      <c r="I68" s="340">
        <v>395.3874414430269</v>
      </c>
      <c r="J68" s="340">
        <v>387.1906059816868</v>
      </c>
      <c r="K68" s="340">
        <v>377.7189607062404</v>
      </c>
      <c r="L68" s="340">
        <v>385.90766581578447</v>
      </c>
      <c r="M68" s="340">
        <v>382.3179824770451</v>
      </c>
      <c r="N68" s="340">
        <v>379.0431172575589</v>
      </c>
      <c r="O68" s="340">
        <v>376.0578761262253</v>
      </c>
      <c r="P68" s="340">
        <v>373.33506758471316</v>
      </c>
      <c r="Q68" s="345">
        <v>370.8341146422338</v>
      </c>
    </row>
    <row r="69" spans="1:17" ht="15">
      <c r="A69" s="57">
        <v>5</v>
      </c>
      <c r="B69" s="355">
        <v>456</v>
      </c>
      <c r="C69" s="339">
        <v>449</v>
      </c>
      <c r="D69" s="339">
        <v>441</v>
      </c>
      <c r="E69" s="339">
        <v>434</v>
      </c>
      <c r="F69" s="339">
        <v>426</v>
      </c>
      <c r="G69" s="339">
        <v>418</v>
      </c>
      <c r="H69" s="356">
        <v>410.2874783736345</v>
      </c>
      <c r="I69" s="340">
        <v>402.73239651130154</v>
      </c>
      <c r="J69" s="340">
        <v>394.924020204548</v>
      </c>
      <c r="K69" s="340">
        <v>386.7478978792257</v>
      </c>
      <c r="L69" s="340">
        <v>377.29765086044273</v>
      </c>
      <c r="M69" s="340">
        <v>385.48776052929406</v>
      </c>
      <c r="N69" s="340">
        <v>381.9121775947039</v>
      </c>
      <c r="O69" s="340">
        <v>378.65066222473826</v>
      </c>
      <c r="P69" s="340">
        <v>375.6780860837319</v>
      </c>
      <c r="Q69" s="345">
        <v>372.9673208279733</v>
      </c>
    </row>
    <row r="70" spans="1:17" ht="15">
      <c r="A70" s="57">
        <v>6</v>
      </c>
      <c r="B70" s="355">
        <v>461</v>
      </c>
      <c r="C70" s="339">
        <v>455</v>
      </c>
      <c r="D70" s="339">
        <v>448</v>
      </c>
      <c r="E70" s="339">
        <v>440</v>
      </c>
      <c r="F70" s="339">
        <v>433</v>
      </c>
      <c r="G70" s="339">
        <v>425</v>
      </c>
      <c r="H70" s="356">
        <v>417.30707277755556</v>
      </c>
      <c r="I70" s="340">
        <v>409.9061263182847</v>
      </c>
      <c r="J70" s="340">
        <v>402.3671955993312</v>
      </c>
      <c r="K70" s="340">
        <v>394.57462754854083</v>
      </c>
      <c r="L70" s="340">
        <v>386.41407598402765</v>
      </c>
      <c r="M70" s="340">
        <v>376.97992415088066</v>
      </c>
      <c r="N70" s="340">
        <v>385.1710564080854</v>
      </c>
      <c r="O70" s="340">
        <v>381.6060760208882</v>
      </c>
      <c r="P70" s="340">
        <v>378.3546020971539</v>
      </c>
      <c r="Q70" s="345">
        <v>375.3915553470013</v>
      </c>
    </row>
    <row r="71" spans="1:17" ht="15">
      <c r="A71" s="57">
        <v>7</v>
      </c>
      <c r="B71" s="355">
        <v>464</v>
      </c>
      <c r="C71" s="339">
        <v>460</v>
      </c>
      <c r="D71" s="339">
        <v>454</v>
      </c>
      <c r="E71" s="339">
        <v>447</v>
      </c>
      <c r="F71" s="339">
        <v>439</v>
      </c>
      <c r="G71" s="339">
        <v>432</v>
      </c>
      <c r="H71" s="356">
        <v>424.3491499721245</v>
      </c>
      <c r="I71" s="340">
        <v>417.0001498738485</v>
      </c>
      <c r="J71" s="340">
        <v>409.6119762141172</v>
      </c>
      <c r="K71" s="340">
        <v>402.0854698789838</v>
      </c>
      <c r="L71" s="340">
        <v>394.30506784480497</v>
      </c>
      <c r="M71" s="340">
        <v>386.15650457087764</v>
      </c>
      <c r="N71" s="340">
        <v>376.73475065765626</v>
      </c>
      <c r="O71" s="340">
        <v>384.92665375278887</v>
      </c>
      <c r="P71" s="340">
        <v>381.36984018880395</v>
      </c>
      <c r="Q71" s="345">
        <v>378.126103359536</v>
      </c>
    </row>
    <row r="72" spans="1:17" ht="15">
      <c r="A72" s="57">
        <v>8</v>
      </c>
      <c r="B72" s="355">
        <v>466</v>
      </c>
      <c r="C72" s="339">
        <v>464</v>
      </c>
      <c r="D72" s="339">
        <v>459</v>
      </c>
      <c r="E72" s="339">
        <v>453</v>
      </c>
      <c r="F72" s="339">
        <v>446</v>
      </c>
      <c r="G72" s="339">
        <v>439</v>
      </c>
      <c r="H72" s="356">
        <v>431.45735053856345</v>
      </c>
      <c r="I72" s="340">
        <v>424.0935839982494</v>
      </c>
      <c r="J72" s="340">
        <v>416.7551006411155</v>
      </c>
      <c r="K72" s="340">
        <v>409.37710156289614</v>
      </c>
      <c r="L72" s="340">
        <v>401.86049632921373</v>
      </c>
      <c r="M72" s="340">
        <v>394.0897932701899</v>
      </c>
      <c r="N72" s="340">
        <v>385.95079077170044</v>
      </c>
      <c r="O72" s="340">
        <v>376.5389281457217</v>
      </c>
      <c r="P72" s="340">
        <v>384.7314384698665</v>
      </c>
      <c r="Q72" s="345">
        <v>381.1811418904733</v>
      </c>
    </row>
    <row r="73" spans="1:17" ht="15">
      <c r="A73" s="57">
        <v>9</v>
      </c>
      <c r="B73" s="355">
        <v>467</v>
      </c>
      <c r="C73" s="339">
        <v>466</v>
      </c>
      <c r="D73" s="339">
        <v>463</v>
      </c>
      <c r="E73" s="339">
        <v>458</v>
      </c>
      <c r="F73" s="339">
        <v>453</v>
      </c>
      <c r="G73" s="339">
        <v>446</v>
      </c>
      <c r="H73" s="356">
        <v>438.6259755001616</v>
      </c>
      <c r="I73" s="340">
        <v>431.23404903104097</v>
      </c>
      <c r="J73" s="340">
        <v>423.8794060897264</v>
      </c>
      <c r="K73" s="340">
        <v>416.54971857015806</v>
      </c>
      <c r="L73" s="340">
        <v>409.18023246848173</v>
      </c>
      <c r="M73" s="340">
        <v>401.67191443449906</v>
      </c>
      <c r="N73" s="340">
        <v>393.9093321976174</v>
      </c>
      <c r="O73" s="340">
        <v>385.7783373757497</v>
      </c>
      <c r="P73" s="340">
        <v>376.3747619061322</v>
      </c>
      <c r="Q73" s="345">
        <v>384.56777815016363</v>
      </c>
    </row>
    <row r="74" spans="1:17" ht="15">
      <c r="A74" s="57">
        <v>10</v>
      </c>
      <c r="B74" s="355">
        <v>469</v>
      </c>
      <c r="C74" s="339">
        <v>467</v>
      </c>
      <c r="D74" s="339">
        <v>466</v>
      </c>
      <c r="E74" s="339">
        <v>463</v>
      </c>
      <c r="F74" s="339">
        <v>458</v>
      </c>
      <c r="G74" s="339">
        <v>453</v>
      </c>
      <c r="H74" s="356">
        <v>445.70385801123285</v>
      </c>
      <c r="I74" s="340">
        <v>438.41721249318454</v>
      </c>
      <c r="J74" s="340">
        <v>431.0337630606283</v>
      </c>
      <c r="K74" s="340">
        <v>423.68728811894505</v>
      </c>
      <c r="L74" s="340">
        <v>416.365478138471</v>
      </c>
      <c r="M74" s="340">
        <v>409.00361894538156</v>
      </c>
      <c r="N74" s="340">
        <v>401.5027280163301</v>
      </c>
      <c r="O74" s="340">
        <v>393.74742603995935</v>
      </c>
      <c r="P74" s="340">
        <v>385.62361210361206</v>
      </c>
      <c r="Q74" s="345">
        <v>376.2274701533694</v>
      </c>
    </row>
    <row r="75" spans="1:17" ht="15">
      <c r="A75" s="57">
        <v>11</v>
      </c>
      <c r="B75" s="355">
        <v>470</v>
      </c>
      <c r="C75" s="339">
        <v>469</v>
      </c>
      <c r="D75" s="339">
        <v>467</v>
      </c>
      <c r="E75" s="339">
        <v>466</v>
      </c>
      <c r="F75" s="339">
        <v>463</v>
      </c>
      <c r="G75" s="339">
        <v>458</v>
      </c>
      <c r="H75" s="356">
        <v>452.3837799362745</v>
      </c>
      <c r="I75" s="340">
        <v>445.48964566070555</v>
      </c>
      <c r="J75" s="340">
        <v>438.2115844605132</v>
      </c>
      <c r="K75" s="340">
        <v>430.8364694774039</v>
      </c>
      <c r="L75" s="340">
        <v>423.49802816019644</v>
      </c>
      <c r="M75" s="340">
        <v>416.1839688215123</v>
      </c>
      <c r="N75" s="340">
        <v>408.8296161329468</v>
      </c>
      <c r="O75" s="340">
        <v>401.3360373074394</v>
      </c>
      <c r="P75" s="340">
        <v>393.587904917093</v>
      </c>
      <c r="Q75" s="345">
        <v>385.4711645590986</v>
      </c>
    </row>
    <row r="76" spans="1:17" ht="15">
      <c r="A76" s="57">
        <v>12</v>
      </c>
      <c r="B76" s="355">
        <v>467</v>
      </c>
      <c r="C76" s="339">
        <v>470</v>
      </c>
      <c r="D76" s="339">
        <v>469</v>
      </c>
      <c r="E76" s="339">
        <v>467</v>
      </c>
      <c r="F76" s="339">
        <v>466</v>
      </c>
      <c r="G76" s="339">
        <v>463</v>
      </c>
      <c r="H76" s="356">
        <v>458.2212443573379</v>
      </c>
      <c r="I76" s="340">
        <v>452.13791538362744</v>
      </c>
      <c r="J76" s="340">
        <v>445.2533570983361</v>
      </c>
      <c r="K76" s="340">
        <v>437.9847463973287</v>
      </c>
      <c r="L76" s="340">
        <v>430.61881044213453</v>
      </c>
      <c r="M76" s="340">
        <v>423.2892199496317</v>
      </c>
      <c r="N76" s="340">
        <v>415.9837024627687</v>
      </c>
      <c r="O76" s="340">
        <v>408.637625119715</v>
      </c>
      <c r="P76" s="340">
        <v>401.15210967138637</v>
      </c>
      <c r="Q76" s="345">
        <v>393.41188564121506</v>
      </c>
    </row>
    <row r="77" spans="1:17" ht="15">
      <c r="A77" s="57">
        <v>13</v>
      </c>
      <c r="B77" s="355">
        <v>463</v>
      </c>
      <c r="C77" s="339">
        <v>467</v>
      </c>
      <c r="D77" s="339">
        <v>470</v>
      </c>
      <c r="E77" s="339">
        <v>469</v>
      </c>
      <c r="F77" s="339">
        <v>467</v>
      </c>
      <c r="G77" s="339">
        <v>466</v>
      </c>
      <c r="H77" s="356">
        <v>462.7150779388932</v>
      </c>
      <c r="I77" s="340">
        <v>457.9115774122595</v>
      </c>
      <c r="J77" s="340">
        <v>451.8397001892002</v>
      </c>
      <c r="K77" s="340">
        <v>444.9667304308331</v>
      </c>
      <c r="L77" s="340">
        <v>437.7095614518239</v>
      </c>
      <c r="M77" s="340">
        <v>430.35474270606323</v>
      </c>
      <c r="N77" s="340">
        <v>423.03587551319305</v>
      </c>
      <c r="O77" s="340">
        <v>415.7407102428074</v>
      </c>
      <c r="P77" s="340">
        <v>408.4046651210191</v>
      </c>
      <c r="Q77" s="345">
        <v>400.9289276935253</v>
      </c>
    </row>
    <row r="78" spans="1:17" ht="15">
      <c r="A78" s="57">
        <v>14</v>
      </c>
      <c r="B78" s="355">
        <v>458</v>
      </c>
      <c r="C78" s="339">
        <v>463</v>
      </c>
      <c r="D78" s="339">
        <v>467</v>
      </c>
      <c r="E78" s="339">
        <v>470</v>
      </c>
      <c r="F78" s="339">
        <v>469</v>
      </c>
      <c r="G78" s="339">
        <v>467</v>
      </c>
      <c r="H78" s="356">
        <v>465.53511603862955</v>
      </c>
      <c r="I78" s="340">
        <v>462.3123806846906</v>
      </c>
      <c r="J78" s="340">
        <v>457.5226091257145</v>
      </c>
      <c r="K78" s="340">
        <v>451.46507539692305</v>
      </c>
      <c r="L78" s="340">
        <v>444.6066283223407</v>
      </c>
      <c r="M78" s="340">
        <v>437.36380424186154</v>
      </c>
      <c r="N78" s="340">
        <v>430.02292862572057</v>
      </c>
      <c r="O78" s="340">
        <v>422.7175149314563</v>
      </c>
      <c r="P78" s="340">
        <v>415.43534162056955</v>
      </c>
      <c r="Q78" s="345">
        <v>408.1118906040719</v>
      </c>
    </row>
    <row r="79" spans="1:17" ht="15">
      <c r="A79" s="57">
        <v>15</v>
      </c>
      <c r="B79" s="355">
        <v>448</v>
      </c>
      <c r="C79" s="339">
        <v>458</v>
      </c>
      <c r="D79" s="339">
        <v>463</v>
      </c>
      <c r="E79" s="339">
        <v>467</v>
      </c>
      <c r="F79" s="339">
        <v>470</v>
      </c>
      <c r="G79" s="339">
        <v>469</v>
      </c>
      <c r="H79" s="356">
        <v>466.8366774967143</v>
      </c>
      <c r="I79" s="340">
        <v>465.0228368209031</v>
      </c>
      <c r="J79" s="340">
        <v>461.8157971764402</v>
      </c>
      <c r="K79" s="340">
        <v>457.04289266151494</v>
      </c>
      <c r="L79" s="340">
        <v>451.0029936575331</v>
      </c>
      <c r="M79" s="340">
        <v>444.162411353415</v>
      </c>
      <c r="N79" s="340">
        <v>436.9372409660406</v>
      </c>
      <c r="O79" s="340">
        <v>429.6135308402005</v>
      </c>
      <c r="P79" s="340">
        <v>422.3246852619927</v>
      </c>
      <c r="Q79" s="345">
        <v>415.05851666028946</v>
      </c>
    </row>
    <row r="80" spans="1:17" ht="15">
      <c r="A80" s="57">
        <v>16</v>
      </c>
      <c r="B80" s="355">
        <v>439</v>
      </c>
      <c r="C80" s="339">
        <v>448</v>
      </c>
      <c r="D80" s="339">
        <v>457</v>
      </c>
      <c r="E80" s="339">
        <v>463</v>
      </c>
      <c r="F80" s="339">
        <v>467</v>
      </c>
      <c r="G80" s="339">
        <v>470</v>
      </c>
      <c r="H80" s="356">
        <v>468.1108164159373</v>
      </c>
      <c r="I80" s="340">
        <v>466.21047552594075</v>
      </c>
      <c r="J80" s="340">
        <v>464.4139057091139</v>
      </c>
      <c r="K80" s="340">
        <v>461.22543180331604</v>
      </c>
      <c r="L80" s="340">
        <v>456.47249785538327</v>
      </c>
      <c r="M80" s="340">
        <v>450.45349380680796</v>
      </c>
      <c r="N80" s="340">
        <v>443.63409085190784</v>
      </c>
      <c r="O80" s="340">
        <v>436.429858765191</v>
      </c>
      <c r="P80" s="340">
        <v>429.12651538657315</v>
      </c>
      <c r="Q80" s="345">
        <v>421.8573342678176</v>
      </c>
    </row>
    <row r="81" spans="1:17" ht="15">
      <c r="A81" s="57">
        <v>17</v>
      </c>
      <c r="B81" s="355">
        <v>435</v>
      </c>
      <c r="C81" s="339">
        <v>439</v>
      </c>
      <c r="D81" s="339">
        <v>448</v>
      </c>
      <c r="E81" s="339">
        <v>456</v>
      </c>
      <c r="F81" s="339">
        <v>463</v>
      </c>
      <c r="G81" s="339">
        <v>467</v>
      </c>
      <c r="H81" s="356">
        <v>468.74454361517553</v>
      </c>
      <c r="I81" s="340">
        <v>467.3741791408827</v>
      </c>
      <c r="J81" s="340">
        <v>465.49420041332814</v>
      </c>
      <c r="K81" s="340">
        <v>463.71726193006464</v>
      </c>
      <c r="L81" s="340">
        <v>460.54991529417424</v>
      </c>
      <c r="M81" s="340">
        <v>455.8197299961157</v>
      </c>
      <c r="N81" s="340">
        <v>449.82454579112004</v>
      </c>
      <c r="O81" s="340">
        <v>443.02930075939105</v>
      </c>
      <c r="P81" s="340">
        <v>435.84896237294595</v>
      </c>
      <c r="Q81" s="345">
        <v>428.56886915176983</v>
      </c>
    </row>
    <row r="82" spans="1:17" ht="15">
      <c r="A82" s="57">
        <v>18</v>
      </c>
      <c r="B82" s="355">
        <v>436</v>
      </c>
      <c r="C82" s="339">
        <v>435</v>
      </c>
      <c r="D82" s="339">
        <v>438</v>
      </c>
      <c r="E82" s="339">
        <v>446</v>
      </c>
      <c r="F82" s="339">
        <v>455</v>
      </c>
      <c r="G82" s="339">
        <v>462</v>
      </c>
      <c r="H82" s="356">
        <v>466.6055167933028</v>
      </c>
      <c r="I82" s="340">
        <v>467.9169104256046</v>
      </c>
      <c r="J82" s="340">
        <v>466.5684065546697</v>
      </c>
      <c r="K82" s="340">
        <v>464.7105466059894</v>
      </c>
      <c r="L82" s="340">
        <v>462.9549439604403</v>
      </c>
      <c r="M82" s="340">
        <v>459.8105856986131</v>
      </c>
      <c r="N82" s="340">
        <v>455.10517840224196</v>
      </c>
      <c r="O82" s="340">
        <v>449.13595934733104</v>
      </c>
      <c r="P82" s="340">
        <v>442.36706348682446</v>
      </c>
      <c r="Q82" s="345">
        <v>435.2127980011554</v>
      </c>
    </row>
    <row r="83" spans="1:17" ht="15">
      <c r="A83" s="57">
        <v>19</v>
      </c>
      <c r="B83" s="355">
        <v>439</v>
      </c>
      <c r="C83" s="339">
        <v>435</v>
      </c>
      <c r="D83" s="339">
        <v>434</v>
      </c>
      <c r="E83" s="339">
        <v>438</v>
      </c>
      <c r="F83" s="339">
        <v>445</v>
      </c>
      <c r="G83" s="339">
        <v>454</v>
      </c>
      <c r="H83" s="356">
        <v>461.03682694125246</v>
      </c>
      <c r="I83" s="340">
        <v>465.7212379417313</v>
      </c>
      <c r="J83" s="340">
        <v>467.05092489865365</v>
      </c>
      <c r="K83" s="340">
        <v>465.7251162476376</v>
      </c>
      <c r="L83" s="340">
        <v>463.89023994582874</v>
      </c>
      <c r="M83" s="340">
        <v>462.1568182322337</v>
      </c>
      <c r="N83" s="340">
        <v>459.0363869530397</v>
      </c>
      <c r="O83" s="340">
        <v>454.35679620080145</v>
      </c>
      <c r="P83" s="340">
        <v>448.4146521707484</v>
      </c>
      <c r="Q83" s="345">
        <v>441.67324812929195</v>
      </c>
    </row>
    <row r="84" spans="1:17" ht="15">
      <c r="A84" s="57">
        <v>20</v>
      </c>
      <c r="B84" s="355">
        <v>445</v>
      </c>
      <c r="C84" s="339">
        <v>438</v>
      </c>
      <c r="D84" s="339">
        <v>435</v>
      </c>
      <c r="E84" s="339">
        <v>434</v>
      </c>
      <c r="F84" s="339">
        <v>438</v>
      </c>
      <c r="G84" s="339">
        <v>445</v>
      </c>
      <c r="H84" s="356">
        <v>453.29868428878234</v>
      </c>
      <c r="I84" s="340">
        <v>460.1508257853391</v>
      </c>
      <c r="J84" s="340">
        <v>464.84709320336833</v>
      </c>
      <c r="K84" s="340">
        <v>466.19467845658716</v>
      </c>
      <c r="L84" s="340">
        <v>464.8911378948364</v>
      </c>
      <c r="M84" s="340">
        <v>463.07883204888253</v>
      </c>
      <c r="N84" s="340">
        <v>461.3672026911901</v>
      </c>
      <c r="O84" s="340">
        <v>458.27030628857597</v>
      </c>
      <c r="P84" s="340">
        <v>453.6161349888642</v>
      </c>
      <c r="Q84" s="345">
        <v>447.7006704241595</v>
      </c>
    </row>
    <row r="85" spans="1:17" ht="15">
      <c r="A85" s="57">
        <v>21</v>
      </c>
      <c r="B85" s="355">
        <v>449</v>
      </c>
      <c r="C85" s="339">
        <v>445</v>
      </c>
      <c r="D85" s="339">
        <v>438</v>
      </c>
      <c r="E85" s="339">
        <v>435</v>
      </c>
      <c r="F85" s="339">
        <v>434</v>
      </c>
      <c r="G85" s="339">
        <v>438</v>
      </c>
      <c r="H85" s="356">
        <v>444.6140300806604</v>
      </c>
      <c r="I85" s="340">
        <v>452.4249620450332</v>
      </c>
      <c r="J85" s="340">
        <v>459.28445357960334</v>
      </c>
      <c r="K85" s="340">
        <v>463.99212563467484</v>
      </c>
      <c r="L85" s="340">
        <v>465.35703986121297</v>
      </c>
      <c r="M85" s="340">
        <v>464.07511914921696</v>
      </c>
      <c r="N85" s="340">
        <v>462.28474491488157</v>
      </c>
      <c r="O85" s="340">
        <v>460.5943005307846</v>
      </c>
      <c r="P85" s="340">
        <v>457.52030890325955</v>
      </c>
      <c r="Q85" s="345">
        <v>452.89090139037825</v>
      </c>
    </row>
    <row r="86" spans="1:17" ht="15">
      <c r="A86" s="57">
        <v>22</v>
      </c>
      <c r="B86" s="355">
        <v>455</v>
      </c>
      <c r="C86" s="339">
        <v>449</v>
      </c>
      <c r="D86" s="339">
        <v>445</v>
      </c>
      <c r="E86" s="339">
        <v>438</v>
      </c>
      <c r="F86" s="339">
        <v>434</v>
      </c>
      <c r="G86" s="339">
        <v>434</v>
      </c>
      <c r="H86" s="356">
        <v>437.2692365954614</v>
      </c>
      <c r="I86" s="340">
        <v>443.7228905662546</v>
      </c>
      <c r="J86" s="340">
        <v>451.5390711027264</v>
      </c>
      <c r="K86" s="340">
        <v>458.4058202761895</v>
      </c>
      <c r="L86" s="340">
        <v>463.1248750006158</v>
      </c>
      <c r="M86" s="340">
        <v>464.5071955534091</v>
      </c>
      <c r="N86" s="340">
        <v>463.2470498877186</v>
      </c>
      <c r="O86" s="340">
        <v>461.47878233725913</v>
      </c>
      <c r="P86" s="340">
        <v>459.8097011559435</v>
      </c>
      <c r="Q86" s="345">
        <v>456.7588322783382</v>
      </c>
    </row>
    <row r="87" spans="1:17" ht="15">
      <c r="A87" s="57">
        <v>23</v>
      </c>
      <c r="B87" s="355">
        <v>466</v>
      </c>
      <c r="C87" s="339">
        <v>455</v>
      </c>
      <c r="D87" s="339">
        <v>449</v>
      </c>
      <c r="E87" s="339">
        <v>444</v>
      </c>
      <c r="F87" s="339">
        <v>438</v>
      </c>
      <c r="G87" s="339">
        <v>434</v>
      </c>
      <c r="H87" s="356">
        <v>433.01497446611086</v>
      </c>
      <c r="I87" s="340">
        <v>436.33763265071934</v>
      </c>
      <c r="J87" s="340">
        <v>442.7992085511363</v>
      </c>
      <c r="K87" s="340">
        <v>450.62061899733084</v>
      </c>
      <c r="L87" s="340">
        <v>457.49469313415784</v>
      </c>
      <c r="M87" s="340">
        <v>462.2253630402792</v>
      </c>
      <c r="N87" s="340">
        <v>463.6255604638499</v>
      </c>
      <c r="O87" s="340">
        <v>462.3878390401736</v>
      </c>
      <c r="P87" s="340">
        <v>460.64235513843414</v>
      </c>
      <c r="Q87" s="345">
        <v>458.9953004410568</v>
      </c>
    </row>
    <row r="88" spans="1:17" ht="15">
      <c r="A88" s="57">
        <v>24</v>
      </c>
      <c r="B88" s="355">
        <v>477</v>
      </c>
      <c r="C88" s="339">
        <v>465</v>
      </c>
      <c r="D88" s="339">
        <v>454</v>
      </c>
      <c r="E88" s="339">
        <v>449</v>
      </c>
      <c r="F88" s="339">
        <v>444</v>
      </c>
      <c r="G88" s="339">
        <v>438</v>
      </c>
      <c r="H88" s="356">
        <v>433.19927548297494</v>
      </c>
      <c r="I88" s="340">
        <v>432.017463718452</v>
      </c>
      <c r="J88" s="340">
        <v>435.35537622689964</v>
      </c>
      <c r="K88" s="340">
        <v>441.82507143089435</v>
      </c>
      <c r="L88" s="340">
        <v>449.6517750607893</v>
      </c>
      <c r="M88" s="340">
        <v>456.5333642672667</v>
      </c>
      <c r="N88" s="340">
        <v>461.27608839436704</v>
      </c>
      <c r="O88" s="340">
        <v>462.6949622294587</v>
      </c>
      <c r="P88" s="340">
        <v>461.4807327241252</v>
      </c>
      <c r="Q88" s="345">
        <v>459.75913597454905</v>
      </c>
    </row>
    <row r="89" spans="1:17" ht="15">
      <c r="A89" s="57">
        <v>25</v>
      </c>
      <c r="B89" s="355">
        <v>491</v>
      </c>
      <c r="C89" s="339">
        <v>477</v>
      </c>
      <c r="D89" s="339">
        <v>465</v>
      </c>
      <c r="E89" s="339">
        <v>454</v>
      </c>
      <c r="F89" s="339">
        <v>448</v>
      </c>
      <c r="G89" s="339">
        <v>443</v>
      </c>
      <c r="H89" s="356">
        <v>436.957665364382</v>
      </c>
      <c r="I89" s="340">
        <v>432.1191408524451</v>
      </c>
      <c r="J89" s="340">
        <v>430.9646757899049</v>
      </c>
      <c r="K89" s="340">
        <v>434.3184264412191</v>
      </c>
      <c r="L89" s="340">
        <v>440.79644379219513</v>
      </c>
      <c r="M89" s="340">
        <v>448.62849806930313</v>
      </c>
      <c r="N89" s="340">
        <v>455.51779636010195</v>
      </c>
      <c r="O89" s="340">
        <v>460.27303739901294</v>
      </c>
      <c r="P89" s="340">
        <v>461.71143986442775</v>
      </c>
      <c r="Q89" s="345">
        <v>460.5218445010152</v>
      </c>
    </row>
    <row r="90" spans="1:17" ht="15">
      <c r="A90" s="57">
        <v>26</v>
      </c>
      <c r="B90" s="355">
        <v>504</v>
      </c>
      <c r="C90" s="339">
        <v>491</v>
      </c>
      <c r="D90" s="339">
        <v>477</v>
      </c>
      <c r="E90" s="339">
        <v>465</v>
      </c>
      <c r="F90" s="339">
        <v>454</v>
      </c>
      <c r="G90" s="339">
        <v>447</v>
      </c>
      <c r="H90" s="356">
        <v>441.3064949632464</v>
      </c>
      <c r="I90" s="340">
        <v>435.78941037533167</v>
      </c>
      <c r="J90" s="340">
        <v>430.9898242364223</v>
      </c>
      <c r="K90" s="340">
        <v>429.8636590164269</v>
      </c>
      <c r="L90" s="340">
        <v>433.2336962286734</v>
      </c>
      <c r="M90" s="340">
        <v>439.72015389651875</v>
      </c>
      <c r="N90" s="340">
        <v>447.55755171079505</v>
      </c>
      <c r="O90" s="340">
        <v>454.45467333990297</v>
      </c>
      <c r="P90" s="340">
        <v>459.2227832223983</v>
      </c>
      <c r="Q90" s="345">
        <v>460.6814108403541</v>
      </c>
    </row>
    <row r="91" spans="1:17" ht="15">
      <c r="A91" s="57">
        <v>27</v>
      </c>
      <c r="B91" s="355">
        <v>513</v>
      </c>
      <c r="C91" s="339">
        <v>503</v>
      </c>
      <c r="D91" s="339">
        <v>490</v>
      </c>
      <c r="E91" s="339">
        <v>476</v>
      </c>
      <c r="F91" s="339">
        <v>465</v>
      </c>
      <c r="G91" s="339">
        <v>454</v>
      </c>
      <c r="H91" s="356">
        <v>445.73033281755755</v>
      </c>
      <c r="I91" s="340">
        <v>440.04857315538834</v>
      </c>
      <c r="J91" s="340">
        <v>434.5749847175327</v>
      </c>
      <c r="K91" s="340">
        <v>429.81554961279306</v>
      </c>
      <c r="L91" s="340">
        <v>428.71850376584956</v>
      </c>
      <c r="M91" s="340">
        <v>432.10518784735086</v>
      </c>
      <c r="N91" s="340">
        <v>438.6001452822191</v>
      </c>
      <c r="O91" s="340">
        <v>446.4428323720525</v>
      </c>
      <c r="P91" s="340">
        <v>453.347835678167</v>
      </c>
      <c r="Q91" s="345">
        <v>458.12909269314997</v>
      </c>
    </row>
    <row r="92" spans="1:17" ht="15">
      <c r="A92" s="57">
        <v>28</v>
      </c>
      <c r="B92" s="355">
        <v>517</v>
      </c>
      <c r="C92" s="339">
        <v>513</v>
      </c>
      <c r="D92" s="339">
        <v>503</v>
      </c>
      <c r="E92" s="339">
        <v>490</v>
      </c>
      <c r="F92" s="339">
        <v>475</v>
      </c>
      <c r="G92" s="339">
        <v>464</v>
      </c>
      <c r="H92" s="356">
        <v>452.5643204019976</v>
      </c>
      <c r="I92" s="340">
        <v>444.37651167706287</v>
      </c>
      <c r="J92" s="340">
        <v>438.7416805936976</v>
      </c>
      <c r="K92" s="340">
        <v>433.31291602210143</v>
      </c>
      <c r="L92" s="340">
        <v>428.594865179623</v>
      </c>
      <c r="M92" s="340">
        <v>427.5277664658031</v>
      </c>
      <c r="N92" s="340">
        <v>430.9314510619361</v>
      </c>
      <c r="O92" s="340">
        <v>437.4349509834614</v>
      </c>
      <c r="P92" s="340">
        <v>445.28285233567203</v>
      </c>
      <c r="Q92" s="345">
        <v>452.195778587187</v>
      </c>
    </row>
    <row r="93" spans="1:17" ht="15">
      <c r="A93" s="57">
        <v>29</v>
      </c>
      <c r="B93" s="355">
        <v>521</v>
      </c>
      <c r="C93" s="339">
        <v>517</v>
      </c>
      <c r="D93" s="339">
        <v>512</v>
      </c>
      <c r="E93" s="339">
        <v>502</v>
      </c>
      <c r="F93" s="339">
        <v>489</v>
      </c>
      <c r="G93" s="339">
        <v>475</v>
      </c>
      <c r="H93" s="356">
        <v>462.1253497734533</v>
      </c>
      <c r="I93" s="340">
        <v>451.1013443061066</v>
      </c>
      <c r="J93" s="340">
        <v>442.9716628069745</v>
      </c>
      <c r="K93" s="340">
        <v>437.3851199159878</v>
      </c>
      <c r="L93" s="340">
        <v>432.00249985457873</v>
      </c>
      <c r="M93" s="340">
        <v>427.32705920335303</v>
      </c>
      <c r="N93" s="340">
        <v>426.2907228550069</v>
      </c>
      <c r="O93" s="340">
        <v>429.7117421269357</v>
      </c>
      <c r="P93" s="340">
        <v>436.22380285723295</v>
      </c>
      <c r="Q93" s="345">
        <v>444.076817069202</v>
      </c>
    </row>
    <row r="94" spans="1:17" ht="15">
      <c r="A94" s="57">
        <v>30</v>
      </c>
      <c r="B94" s="355">
        <v>518</v>
      </c>
      <c r="C94" s="339">
        <v>521</v>
      </c>
      <c r="D94" s="339">
        <v>517</v>
      </c>
      <c r="E94" s="339">
        <v>512</v>
      </c>
      <c r="F94" s="339">
        <v>501</v>
      </c>
      <c r="G94" s="339">
        <v>488</v>
      </c>
      <c r="H94" s="356">
        <v>473.4428455147283</v>
      </c>
      <c r="I94" s="340">
        <v>460.5375580844109</v>
      </c>
      <c r="J94" s="340">
        <v>449.5853306207665</v>
      </c>
      <c r="K94" s="340">
        <v>441.5154265182744</v>
      </c>
      <c r="L94" s="340">
        <v>435.9785097868322</v>
      </c>
      <c r="M94" s="340">
        <v>430.6433344803308</v>
      </c>
      <c r="N94" s="340">
        <v>426.0117103098999</v>
      </c>
      <c r="O94" s="340">
        <v>425.0069295403717</v>
      </c>
      <c r="P94" s="340">
        <v>428.4455918043105</v>
      </c>
      <c r="Q94" s="345">
        <v>434.9662029158559</v>
      </c>
    </row>
    <row r="95" spans="1:17" ht="15">
      <c r="A95" s="57">
        <v>31</v>
      </c>
      <c r="B95" s="355">
        <v>516</v>
      </c>
      <c r="C95" s="339">
        <v>517</v>
      </c>
      <c r="D95" s="339">
        <v>520</v>
      </c>
      <c r="E95" s="339">
        <v>516</v>
      </c>
      <c r="F95" s="339">
        <v>511</v>
      </c>
      <c r="G95" s="339">
        <v>500</v>
      </c>
      <c r="H95" s="356">
        <v>486.2144993397177</v>
      </c>
      <c r="I95" s="340">
        <v>471.7195284496586</v>
      </c>
      <c r="J95" s="340">
        <v>458.89759665851494</v>
      </c>
      <c r="K95" s="340">
        <v>448.018995389373</v>
      </c>
      <c r="L95" s="340">
        <v>440.0103766836732</v>
      </c>
      <c r="M95" s="340">
        <v>434.5243018580224</v>
      </c>
      <c r="N95" s="340">
        <v>429.23775500237196</v>
      </c>
      <c r="O95" s="340">
        <v>424.65104514646913</v>
      </c>
      <c r="P95" s="340">
        <v>423.67852703563614</v>
      </c>
      <c r="Q95" s="345">
        <v>427.13507865542186</v>
      </c>
    </row>
    <row r="96" spans="1:17" ht="15">
      <c r="A96" s="57">
        <v>32</v>
      </c>
      <c r="B96" s="355">
        <v>517</v>
      </c>
      <c r="C96" s="339">
        <v>515</v>
      </c>
      <c r="D96" s="339">
        <v>516</v>
      </c>
      <c r="E96" s="339">
        <v>519</v>
      </c>
      <c r="F96" s="339">
        <v>515</v>
      </c>
      <c r="G96" s="339">
        <v>509</v>
      </c>
      <c r="H96" s="356">
        <v>498.2229038215433</v>
      </c>
      <c r="I96" s="340">
        <v>484.35623859077884</v>
      </c>
      <c r="J96" s="340">
        <v>469.9554789797411</v>
      </c>
      <c r="K96" s="340">
        <v>457.21830812535876</v>
      </c>
      <c r="L96" s="340">
        <v>446.4145738227815</v>
      </c>
      <c r="M96" s="340">
        <v>438.4682393180866</v>
      </c>
      <c r="N96" s="340">
        <v>433.03379589690195</v>
      </c>
      <c r="O96" s="340">
        <v>427.7966536343511</v>
      </c>
      <c r="P96" s="340">
        <v>423.25557866603725</v>
      </c>
      <c r="Q96" s="345">
        <v>422.3157520768339</v>
      </c>
    </row>
    <row r="97" spans="1:17" ht="15">
      <c r="A97" s="57">
        <v>33</v>
      </c>
      <c r="B97" s="355">
        <v>522</v>
      </c>
      <c r="C97" s="339">
        <v>517</v>
      </c>
      <c r="D97" s="339">
        <v>515</v>
      </c>
      <c r="E97" s="339">
        <v>515</v>
      </c>
      <c r="F97" s="339">
        <v>517</v>
      </c>
      <c r="G97" s="339">
        <v>513</v>
      </c>
      <c r="H97" s="356">
        <v>506.94486636987904</v>
      </c>
      <c r="I97" s="340">
        <v>496.249915558473</v>
      </c>
      <c r="J97" s="340">
        <v>482.4791193310784</v>
      </c>
      <c r="K97" s="340">
        <v>468.1729125395086</v>
      </c>
      <c r="L97" s="340">
        <v>455.52082284708797</v>
      </c>
      <c r="M97" s="340">
        <v>444.7922361896105</v>
      </c>
      <c r="N97" s="340">
        <v>436.9083833309331</v>
      </c>
      <c r="O97" s="340">
        <v>431.52569377259067</v>
      </c>
      <c r="P97" s="340">
        <v>426.33809370751766</v>
      </c>
      <c r="Q97" s="345">
        <v>421.8427835601168</v>
      </c>
    </row>
    <row r="98" spans="1:17" ht="15">
      <c r="A98" s="57">
        <v>34</v>
      </c>
      <c r="B98" s="355">
        <v>533</v>
      </c>
      <c r="C98" s="339">
        <v>522</v>
      </c>
      <c r="D98" s="339">
        <v>516</v>
      </c>
      <c r="E98" s="339">
        <v>514</v>
      </c>
      <c r="F98" s="339">
        <v>514</v>
      </c>
      <c r="G98" s="339">
        <v>514</v>
      </c>
      <c r="H98" s="356">
        <v>510.9163830668266</v>
      </c>
      <c r="I98" s="340">
        <v>504.8903322671345</v>
      </c>
      <c r="J98" s="340">
        <v>494.28131657554525</v>
      </c>
      <c r="K98" s="340">
        <v>480.6055197322802</v>
      </c>
      <c r="L98" s="340">
        <v>466.39308145934683</v>
      </c>
      <c r="M98" s="340">
        <v>453.8253784522006</v>
      </c>
      <c r="N98" s="340">
        <v>443.1713224990585</v>
      </c>
      <c r="O98" s="340">
        <v>435.349401088584</v>
      </c>
      <c r="P98" s="340">
        <v>430.01796729838657</v>
      </c>
      <c r="Q98" s="345">
        <v>424.87945225285335</v>
      </c>
    </row>
    <row r="99" spans="1:17" ht="15">
      <c r="A99" s="57">
        <v>35</v>
      </c>
      <c r="B99" s="355">
        <v>543</v>
      </c>
      <c r="C99" s="339">
        <v>532</v>
      </c>
      <c r="D99" s="339">
        <v>521</v>
      </c>
      <c r="E99" s="339">
        <v>515</v>
      </c>
      <c r="F99" s="339">
        <v>513</v>
      </c>
      <c r="G99" s="339">
        <v>512</v>
      </c>
      <c r="H99" s="356">
        <v>511.4326090066725</v>
      </c>
      <c r="I99" s="340">
        <v>508.8284353214104</v>
      </c>
      <c r="J99" s="340">
        <v>502.8703487802374</v>
      </c>
      <c r="K99" s="340">
        <v>492.3451419584432</v>
      </c>
      <c r="L99" s="340">
        <v>478.7621484464131</v>
      </c>
      <c r="M99" s="340">
        <v>464.6413807382856</v>
      </c>
      <c r="N99" s="340">
        <v>452.1561860868972</v>
      </c>
      <c r="O99" s="340">
        <v>441.5749974227752</v>
      </c>
      <c r="P99" s="340">
        <v>433.8135880993956</v>
      </c>
      <c r="Q99" s="345">
        <v>428.5321932823445</v>
      </c>
    </row>
    <row r="100" spans="1:17" ht="15">
      <c r="A100" s="57">
        <v>36</v>
      </c>
      <c r="B100" s="355">
        <v>548</v>
      </c>
      <c r="C100" s="339">
        <v>542</v>
      </c>
      <c r="D100" s="339">
        <v>531</v>
      </c>
      <c r="E100" s="339">
        <v>520</v>
      </c>
      <c r="F100" s="339">
        <v>514</v>
      </c>
      <c r="G100" s="339">
        <v>511</v>
      </c>
      <c r="H100" s="356">
        <v>509.9863401982525</v>
      </c>
      <c r="I100" s="340">
        <v>509.3144453132489</v>
      </c>
      <c r="J100" s="340">
        <v>506.76495550021986</v>
      </c>
      <c r="K100" s="340">
        <v>500.8733282630706</v>
      </c>
      <c r="L100" s="340">
        <v>490.4303159076581</v>
      </c>
      <c r="M100" s="340">
        <v>476.9384876355059</v>
      </c>
      <c r="N100" s="340">
        <v>462.9078392140325</v>
      </c>
      <c r="O100" s="340">
        <v>450.50376497067396</v>
      </c>
      <c r="P100" s="340">
        <v>439.9942123454704</v>
      </c>
      <c r="Q100" s="345">
        <v>432.29225503579016</v>
      </c>
    </row>
    <row r="101" spans="1:17" ht="15">
      <c r="A101" s="57">
        <v>37</v>
      </c>
      <c r="B101" s="355">
        <v>549</v>
      </c>
      <c r="C101" s="339">
        <v>547</v>
      </c>
      <c r="D101" s="339">
        <v>541</v>
      </c>
      <c r="E101" s="339">
        <v>530</v>
      </c>
      <c r="F101" s="339">
        <v>519</v>
      </c>
      <c r="G101" s="339">
        <v>513</v>
      </c>
      <c r="H101" s="356">
        <v>509.23975709262214</v>
      </c>
      <c r="I101" s="340">
        <v>507.8135795143213</v>
      </c>
      <c r="J101" s="340">
        <v>507.18937631938013</v>
      </c>
      <c r="K101" s="340">
        <v>504.6940109899463</v>
      </c>
      <c r="L101" s="340">
        <v>498.8683878110614</v>
      </c>
      <c r="M101" s="340">
        <v>488.507244804981</v>
      </c>
      <c r="N101" s="340">
        <v>475.10636814147415</v>
      </c>
      <c r="O101" s="340">
        <v>461.1656929681545</v>
      </c>
      <c r="P101" s="340">
        <v>448.8426149098191</v>
      </c>
      <c r="Q101" s="345">
        <v>438.404582312984</v>
      </c>
    </row>
    <row r="102" spans="1:17" ht="15">
      <c r="A102" s="57">
        <v>38</v>
      </c>
      <c r="B102" s="355">
        <v>542</v>
      </c>
      <c r="C102" s="339">
        <v>548</v>
      </c>
      <c r="D102" s="339">
        <v>546</v>
      </c>
      <c r="E102" s="339">
        <v>539</v>
      </c>
      <c r="F102" s="339">
        <v>528</v>
      </c>
      <c r="G102" s="339">
        <v>518</v>
      </c>
      <c r="H102" s="356">
        <v>510.83701237893365</v>
      </c>
      <c r="I102" s="340">
        <v>507.0095451055247</v>
      </c>
      <c r="J102" s="340">
        <v>505.6351775602454</v>
      </c>
      <c r="K102" s="340">
        <v>505.05801974309736</v>
      </c>
      <c r="L102" s="340">
        <v>502.61620738084736</v>
      </c>
      <c r="M102" s="340">
        <v>496.856115174221</v>
      </c>
      <c r="N102" s="340">
        <v>486.57649209041654</v>
      </c>
      <c r="O102" s="340">
        <v>473.26632502741046</v>
      </c>
      <c r="P102" s="340">
        <v>459.41544794306117</v>
      </c>
      <c r="Q102" s="345">
        <v>447.17321460326957</v>
      </c>
    </row>
    <row r="103" spans="1:17" ht="15">
      <c r="A103" s="57">
        <v>39</v>
      </c>
      <c r="B103" s="355">
        <v>535</v>
      </c>
      <c r="C103" s="339">
        <v>541</v>
      </c>
      <c r="D103" s="339">
        <v>546</v>
      </c>
      <c r="E103" s="339">
        <v>544</v>
      </c>
      <c r="F103" s="339">
        <v>537</v>
      </c>
      <c r="G103" s="339">
        <v>526</v>
      </c>
      <c r="H103" s="356">
        <v>516.0832997816456</v>
      </c>
      <c r="I103" s="340">
        <v>508.54177023030456</v>
      </c>
      <c r="J103" s="340">
        <v>504.77777948288025</v>
      </c>
      <c r="K103" s="340">
        <v>503.45445895520726</v>
      </c>
      <c r="L103" s="340">
        <v>502.92363403938595</v>
      </c>
      <c r="M103" s="340">
        <v>500.5347245870313</v>
      </c>
      <c r="N103" s="340">
        <v>494.8395913601286</v>
      </c>
      <c r="O103" s="340">
        <v>484.6410137245898</v>
      </c>
      <c r="P103" s="340">
        <v>471.4211738477988</v>
      </c>
      <c r="Q103" s="345">
        <v>457.65977973019653</v>
      </c>
    </row>
    <row r="104" spans="1:17" ht="15">
      <c r="A104" s="57">
        <v>40</v>
      </c>
      <c r="B104" s="355">
        <v>524</v>
      </c>
      <c r="C104" s="339">
        <v>534</v>
      </c>
      <c r="D104" s="339">
        <v>540</v>
      </c>
      <c r="E104" s="339">
        <v>545</v>
      </c>
      <c r="F104" s="339">
        <v>542</v>
      </c>
      <c r="G104" s="339">
        <v>534</v>
      </c>
      <c r="H104" s="356">
        <v>523.4733544609094</v>
      </c>
      <c r="I104" s="340">
        <v>513.704963702206</v>
      </c>
      <c r="J104" s="340">
        <v>506.24539379314086</v>
      </c>
      <c r="K104" s="340">
        <v>502.54408120159354</v>
      </c>
      <c r="L104" s="340">
        <v>501.27106088139925</v>
      </c>
      <c r="M104" s="340">
        <v>500.78586919146903</v>
      </c>
      <c r="N104" s="340">
        <v>498.4492242692813</v>
      </c>
      <c r="O104" s="340">
        <v>492.8184898165875</v>
      </c>
      <c r="P104" s="340">
        <v>482.70049603211</v>
      </c>
      <c r="Q104" s="345">
        <v>469.5706141251191</v>
      </c>
    </row>
    <row r="105" spans="1:17" ht="15">
      <c r="A105" s="57">
        <v>41</v>
      </c>
      <c r="B105" s="355">
        <v>513</v>
      </c>
      <c r="C105" s="339">
        <v>523</v>
      </c>
      <c r="D105" s="339">
        <v>533</v>
      </c>
      <c r="E105" s="339">
        <v>539</v>
      </c>
      <c r="F105" s="339">
        <v>543</v>
      </c>
      <c r="G105" s="339">
        <v>539</v>
      </c>
      <c r="H105" s="356">
        <v>531.0886802035607</v>
      </c>
      <c r="I105" s="340">
        <v>520.9919979296033</v>
      </c>
      <c r="J105" s="340">
        <v>511.31853407917373</v>
      </c>
      <c r="K105" s="340">
        <v>503.94033397395646</v>
      </c>
      <c r="L105" s="340">
        <v>500.30111174032453</v>
      </c>
      <c r="M105" s="340">
        <v>499.0778121810356</v>
      </c>
      <c r="N105" s="340">
        <v>498.6377039842522</v>
      </c>
      <c r="O105" s="340">
        <v>496.3528552071181</v>
      </c>
      <c r="P105" s="340">
        <v>490.7861677934483</v>
      </c>
      <c r="Q105" s="345">
        <v>480.7485568887629</v>
      </c>
    </row>
    <row r="106" spans="1:17" ht="15">
      <c r="A106" s="57">
        <v>42</v>
      </c>
      <c r="B106" s="355">
        <v>500</v>
      </c>
      <c r="C106" s="339">
        <v>512</v>
      </c>
      <c r="D106" s="339">
        <v>522</v>
      </c>
      <c r="E106" s="339">
        <v>531</v>
      </c>
      <c r="F106" s="339">
        <v>537</v>
      </c>
      <c r="G106" s="339">
        <v>540</v>
      </c>
      <c r="H106" s="356">
        <v>536.123892103707</v>
      </c>
      <c r="I106" s="340">
        <v>528.4881122292953</v>
      </c>
      <c r="J106" s="340">
        <v>518.4913617153951</v>
      </c>
      <c r="K106" s="340">
        <v>508.9126404780065</v>
      </c>
      <c r="L106" s="340">
        <v>501.61560432756585</v>
      </c>
      <c r="M106" s="340">
        <v>498.0381747297004</v>
      </c>
      <c r="N106" s="340">
        <v>496.8642459189943</v>
      </c>
      <c r="O106" s="340">
        <v>496.46887743460854</v>
      </c>
      <c r="P106" s="340">
        <v>494.23559339393773</v>
      </c>
      <c r="Q106" s="345">
        <v>488.7328961651381</v>
      </c>
    </row>
    <row r="107" spans="1:17" ht="15">
      <c r="A107" s="57">
        <v>43</v>
      </c>
      <c r="B107" s="355">
        <v>491</v>
      </c>
      <c r="C107" s="339">
        <v>499</v>
      </c>
      <c r="D107" s="339">
        <v>510</v>
      </c>
      <c r="E107" s="339">
        <v>520</v>
      </c>
      <c r="F107" s="339">
        <v>529</v>
      </c>
      <c r="G107" s="339">
        <v>535</v>
      </c>
      <c r="H107" s="356">
        <v>537.0327591918208</v>
      </c>
      <c r="I107" s="340">
        <v>533.3994181418235</v>
      </c>
      <c r="J107" s="340">
        <v>525.8551159049715</v>
      </c>
      <c r="K107" s="340">
        <v>515.9585532584115</v>
      </c>
      <c r="L107" s="340">
        <v>506.474862929126</v>
      </c>
      <c r="M107" s="340">
        <v>499.2591863557972</v>
      </c>
      <c r="N107" s="340">
        <v>495.7435521989404</v>
      </c>
      <c r="O107" s="340">
        <v>494.61887963803247</v>
      </c>
      <c r="P107" s="340">
        <v>494.268118026431</v>
      </c>
      <c r="Q107" s="345">
        <v>492.0864134449668</v>
      </c>
    </row>
    <row r="108" spans="1:17" ht="15">
      <c r="A108" s="57">
        <v>44</v>
      </c>
      <c r="B108" s="355">
        <v>480</v>
      </c>
      <c r="C108" s="339">
        <v>489</v>
      </c>
      <c r="D108" s="339">
        <v>498</v>
      </c>
      <c r="E108" s="339">
        <v>509</v>
      </c>
      <c r="F108" s="339">
        <v>518</v>
      </c>
      <c r="G108" s="339">
        <v>526</v>
      </c>
      <c r="H108" s="356">
        <v>532.3978825946009</v>
      </c>
      <c r="I108" s="340">
        <v>534.1870033384737</v>
      </c>
      <c r="J108" s="340">
        <v>530.6278359144935</v>
      </c>
      <c r="K108" s="340">
        <v>523.175521258913</v>
      </c>
      <c r="L108" s="340">
        <v>513.3799116815051</v>
      </c>
      <c r="M108" s="340">
        <v>503.99202203749604</v>
      </c>
      <c r="N108" s="340">
        <v>496.8583086774595</v>
      </c>
      <c r="O108" s="340">
        <v>493.40477512789664</v>
      </c>
      <c r="P108" s="340">
        <v>492.3294787713115</v>
      </c>
      <c r="Q108" s="345">
        <v>492.02340053018156</v>
      </c>
    </row>
    <row r="109" spans="1:17" ht="15">
      <c r="A109" s="57">
        <v>45</v>
      </c>
      <c r="B109" s="355">
        <v>464</v>
      </c>
      <c r="C109" s="339">
        <v>477</v>
      </c>
      <c r="D109" s="339">
        <v>488</v>
      </c>
      <c r="E109" s="339">
        <v>495</v>
      </c>
      <c r="F109" s="339">
        <v>507</v>
      </c>
      <c r="G109" s="339">
        <v>516</v>
      </c>
      <c r="H109" s="356">
        <v>523.3683749189674</v>
      </c>
      <c r="I109" s="340">
        <v>529.4452835198805</v>
      </c>
      <c r="J109" s="340">
        <v>531.2814913432486</v>
      </c>
      <c r="K109" s="340">
        <v>527.7968930334406</v>
      </c>
      <c r="L109" s="340">
        <v>520.4374371192921</v>
      </c>
      <c r="M109" s="340">
        <v>510.7439480063935</v>
      </c>
      <c r="N109" s="340">
        <v>501.4530097902625</v>
      </c>
      <c r="O109" s="340">
        <v>494.40218411203034</v>
      </c>
      <c r="P109" s="340">
        <v>491.0112893752853</v>
      </c>
      <c r="Q109" s="345">
        <v>489.98566585509406</v>
      </c>
    </row>
    <row r="110" spans="1:17" ht="15">
      <c r="A110" s="57">
        <v>46</v>
      </c>
      <c r="B110" s="355">
        <v>447</v>
      </c>
      <c r="C110" s="339">
        <v>462</v>
      </c>
      <c r="D110" s="339">
        <v>475</v>
      </c>
      <c r="E110" s="339">
        <v>486</v>
      </c>
      <c r="F110" s="339">
        <v>494</v>
      </c>
      <c r="G110" s="339">
        <v>505</v>
      </c>
      <c r="H110" s="356">
        <v>512.5456564023947</v>
      </c>
      <c r="I110" s="340">
        <v>520.3232296818178</v>
      </c>
      <c r="J110" s="340">
        <v>526.4234679882375</v>
      </c>
      <c r="K110" s="340">
        <v>528.3066107511842</v>
      </c>
      <c r="L110" s="340">
        <v>524.8971640273566</v>
      </c>
      <c r="M110" s="340">
        <v>517.6316873222468</v>
      </c>
      <c r="N110" s="340">
        <v>508.0417688914868</v>
      </c>
      <c r="O110" s="340">
        <v>498.8492011934301</v>
      </c>
      <c r="P110" s="340">
        <v>491.882411094277</v>
      </c>
      <c r="Q110" s="345">
        <v>488.55484985249404</v>
      </c>
    </row>
    <row r="111" spans="1:17" ht="15">
      <c r="A111" s="57">
        <v>47</v>
      </c>
      <c r="B111" s="355">
        <v>435</v>
      </c>
      <c r="C111" s="339">
        <v>445</v>
      </c>
      <c r="D111" s="339">
        <v>460</v>
      </c>
      <c r="E111" s="339">
        <v>473</v>
      </c>
      <c r="F111" s="339">
        <v>484</v>
      </c>
      <c r="G111" s="339">
        <v>492</v>
      </c>
      <c r="H111" s="356">
        <v>501.4243270566994</v>
      </c>
      <c r="I111" s="340">
        <v>509.41006726727034</v>
      </c>
      <c r="J111" s="340">
        <v>517.2000720303365</v>
      </c>
      <c r="K111" s="340">
        <v>523.3228888811302</v>
      </c>
      <c r="L111" s="340">
        <v>525.2528893159555</v>
      </c>
      <c r="M111" s="340">
        <v>521.9193422152573</v>
      </c>
      <c r="N111" s="340">
        <v>514.7491936278456</v>
      </c>
      <c r="O111" s="340">
        <v>505.2645591441229</v>
      </c>
      <c r="P111" s="340">
        <v>496.172031168554</v>
      </c>
      <c r="Q111" s="345">
        <v>489.29063129537127</v>
      </c>
    </row>
    <row r="112" spans="1:17" ht="15">
      <c r="A112" s="57">
        <v>48</v>
      </c>
      <c r="B112" s="355">
        <v>419</v>
      </c>
      <c r="C112" s="339">
        <v>433</v>
      </c>
      <c r="D112" s="339">
        <v>443</v>
      </c>
      <c r="E112" s="339">
        <v>458</v>
      </c>
      <c r="F112" s="339">
        <v>470</v>
      </c>
      <c r="G112" s="339">
        <v>480</v>
      </c>
      <c r="H112" s="356">
        <v>489.23324823993323</v>
      </c>
      <c r="I112" s="340">
        <v>498.19148687684</v>
      </c>
      <c r="J112" s="340">
        <v>506.1869868552197</v>
      </c>
      <c r="K112" s="340">
        <v>513.9883282788813</v>
      </c>
      <c r="L112" s="340">
        <v>520.1329613164794</v>
      </c>
      <c r="M112" s="340">
        <v>522.1098135894729</v>
      </c>
      <c r="N112" s="340">
        <v>518.8530872128741</v>
      </c>
      <c r="O112" s="340">
        <v>511.7798596074289</v>
      </c>
      <c r="P112" s="340">
        <v>502.40250580804354</v>
      </c>
      <c r="Q112" s="345">
        <v>493.4119567870425</v>
      </c>
    </row>
    <row r="113" spans="1:17" ht="15">
      <c r="A113" s="57">
        <v>49</v>
      </c>
      <c r="B113" s="355">
        <v>400</v>
      </c>
      <c r="C113" s="339">
        <v>416</v>
      </c>
      <c r="D113" s="339">
        <v>432</v>
      </c>
      <c r="E113" s="339">
        <v>440</v>
      </c>
      <c r="F113" s="339">
        <v>454</v>
      </c>
      <c r="G113" s="339">
        <v>466</v>
      </c>
      <c r="H113" s="356">
        <v>476.3631778892248</v>
      </c>
      <c r="I113" s="340">
        <v>485.9015409776654</v>
      </c>
      <c r="J113" s="340">
        <v>494.8613208500655</v>
      </c>
      <c r="K113" s="340">
        <v>502.86533347624936</v>
      </c>
      <c r="L113" s="340">
        <v>510.67685237314043</v>
      </c>
      <c r="M113" s="340">
        <v>516.8425100548578</v>
      </c>
      <c r="N113" s="340">
        <v>518.8662671390803</v>
      </c>
      <c r="O113" s="340">
        <v>515.6874498182531</v>
      </c>
      <c r="P113" s="340">
        <v>508.71297949996597</v>
      </c>
      <c r="Q113" s="345">
        <v>499.4451896875837</v>
      </c>
    </row>
    <row r="114" spans="1:17" ht="15">
      <c r="A114" s="57">
        <v>50</v>
      </c>
      <c r="B114" s="355">
        <v>387</v>
      </c>
      <c r="C114" s="339">
        <v>399</v>
      </c>
      <c r="D114" s="339">
        <v>415</v>
      </c>
      <c r="E114" s="339">
        <v>429</v>
      </c>
      <c r="F114" s="339">
        <v>438</v>
      </c>
      <c r="G114" s="339">
        <v>452</v>
      </c>
      <c r="H114" s="356">
        <v>462.85803984270814</v>
      </c>
      <c r="I114" s="340">
        <v>472.9277843495406</v>
      </c>
      <c r="J114" s="340">
        <v>482.46118916716176</v>
      </c>
      <c r="K114" s="340">
        <v>491.4209082981622</v>
      </c>
      <c r="L114" s="340">
        <v>499.4320981602023</v>
      </c>
      <c r="M114" s="340">
        <v>507.25255197385917</v>
      </c>
      <c r="N114" s="340">
        <v>513.438401418392</v>
      </c>
      <c r="O114" s="340">
        <v>515.5091790417919</v>
      </c>
      <c r="P114" s="340">
        <v>512.409550039465</v>
      </c>
      <c r="Q114" s="345">
        <v>505.53595457589364</v>
      </c>
    </row>
    <row r="115" spans="1:17" ht="15">
      <c r="A115" s="57">
        <v>51</v>
      </c>
      <c r="B115" s="355">
        <v>378</v>
      </c>
      <c r="C115" s="339">
        <v>385</v>
      </c>
      <c r="D115" s="339">
        <v>397</v>
      </c>
      <c r="E115" s="339">
        <v>412</v>
      </c>
      <c r="F115" s="339">
        <v>425</v>
      </c>
      <c r="G115" s="339">
        <v>436</v>
      </c>
      <c r="H115" s="356">
        <v>448.08492195559074</v>
      </c>
      <c r="I115" s="340">
        <v>459.3136878938101</v>
      </c>
      <c r="J115" s="340">
        <v>469.3714572975065</v>
      </c>
      <c r="K115" s="340">
        <v>478.89795492142196</v>
      </c>
      <c r="L115" s="340">
        <v>487.8558688206033</v>
      </c>
      <c r="M115" s="340">
        <v>495.87278625515563</v>
      </c>
      <c r="N115" s="340">
        <v>503.70082424160375</v>
      </c>
      <c r="O115" s="340">
        <v>509.9059718147066</v>
      </c>
      <c r="P115" s="340">
        <v>512.0239418118603</v>
      </c>
      <c r="Q115" s="345">
        <v>509.0049805495547</v>
      </c>
    </row>
    <row r="116" spans="1:17" ht="15">
      <c r="A116" s="57">
        <v>52</v>
      </c>
      <c r="B116" s="355">
        <v>356</v>
      </c>
      <c r="C116" s="339">
        <v>375</v>
      </c>
      <c r="D116" s="339">
        <v>383</v>
      </c>
      <c r="E116" s="339">
        <v>395</v>
      </c>
      <c r="F116" s="339">
        <v>410</v>
      </c>
      <c r="G116" s="339">
        <v>421</v>
      </c>
      <c r="H116" s="356">
        <v>432.41933353691707</v>
      </c>
      <c r="I116" s="340">
        <v>444.4339006092132</v>
      </c>
      <c r="J116" s="340">
        <v>455.63758862744453</v>
      </c>
      <c r="K116" s="340">
        <v>465.68102932642256</v>
      </c>
      <c r="L116" s="340">
        <v>475.19848060932355</v>
      </c>
      <c r="M116" s="340">
        <v>484.1526709790285</v>
      </c>
      <c r="N116" s="340">
        <v>492.1737192319533</v>
      </c>
      <c r="O116" s="340">
        <v>500.00784947725083</v>
      </c>
      <c r="P116" s="340">
        <v>506.2313055841439</v>
      </c>
      <c r="Q116" s="345">
        <v>508.3966554467358</v>
      </c>
    </row>
    <row r="117" spans="1:17" ht="15">
      <c r="A117" s="57">
        <v>53</v>
      </c>
      <c r="B117" s="355">
        <v>336</v>
      </c>
      <c r="C117" s="339">
        <v>355</v>
      </c>
      <c r="D117" s="339">
        <v>374</v>
      </c>
      <c r="E117" s="339">
        <v>382</v>
      </c>
      <c r="F117" s="339">
        <v>391.718</v>
      </c>
      <c r="G117" s="339">
        <v>406</v>
      </c>
      <c r="H117" s="356">
        <v>417.04026963438537</v>
      </c>
      <c r="I117" s="340">
        <v>428.66428371483545</v>
      </c>
      <c r="J117" s="340">
        <v>440.64204019395385</v>
      </c>
      <c r="K117" s="340">
        <v>451.8176287392876</v>
      </c>
      <c r="L117" s="340">
        <v>461.84415281010706</v>
      </c>
      <c r="M117" s="340">
        <v>471.35019840406665</v>
      </c>
      <c r="N117" s="340">
        <v>480.2985420480229</v>
      </c>
      <c r="O117" s="340">
        <v>488.321944665221</v>
      </c>
      <c r="P117" s="340">
        <v>496.16050122755706</v>
      </c>
      <c r="Q117" s="345">
        <v>502.40114538383466</v>
      </c>
    </row>
    <row r="118" spans="1:17" ht="15">
      <c r="A118" s="57">
        <v>54</v>
      </c>
      <c r="B118" s="355">
        <v>316</v>
      </c>
      <c r="C118" s="339">
        <v>335</v>
      </c>
      <c r="D118" s="339">
        <v>353</v>
      </c>
      <c r="E118" s="339">
        <v>370</v>
      </c>
      <c r="F118" s="339">
        <v>380</v>
      </c>
      <c r="G118" s="339">
        <v>392</v>
      </c>
      <c r="H118" s="356">
        <v>402.3963580976869</v>
      </c>
      <c r="I118" s="340">
        <v>413.1747331768645</v>
      </c>
      <c r="J118" s="340">
        <v>424.7594764652326</v>
      </c>
      <c r="K118" s="340">
        <v>436.69674601251023</v>
      </c>
      <c r="L118" s="340">
        <v>447.84091003387124</v>
      </c>
      <c r="M118" s="340">
        <v>457.84765888081955</v>
      </c>
      <c r="N118" s="340">
        <v>467.3396838886766</v>
      </c>
      <c r="O118" s="340">
        <v>476.2798184775168</v>
      </c>
      <c r="P118" s="340">
        <v>484.30358692355594</v>
      </c>
      <c r="Q118" s="345">
        <v>492.14469796032205</v>
      </c>
    </row>
    <row r="119" spans="1:17" ht="15">
      <c r="A119" s="57">
        <v>55</v>
      </c>
      <c r="B119" s="355">
        <v>303</v>
      </c>
      <c r="C119" s="339">
        <v>314</v>
      </c>
      <c r="D119" s="339">
        <v>334</v>
      </c>
      <c r="E119" s="339">
        <v>351</v>
      </c>
      <c r="F119" s="339">
        <v>367</v>
      </c>
      <c r="G119" s="339">
        <v>378</v>
      </c>
      <c r="H119" s="356">
        <v>388.0845726394317</v>
      </c>
      <c r="I119" s="340">
        <v>398.40259962965854</v>
      </c>
      <c r="J119" s="340">
        <v>409.1435376431316</v>
      </c>
      <c r="K119" s="340">
        <v>420.68494873411396</v>
      </c>
      <c r="L119" s="340">
        <v>432.57760682749756</v>
      </c>
      <c r="M119" s="340">
        <v>443.6866130574638</v>
      </c>
      <c r="N119" s="340">
        <v>453.67037540701654</v>
      </c>
      <c r="O119" s="340">
        <v>463.14543854942076</v>
      </c>
      <c r="P119" s="340">
        <v>472.0747032175422</v>
      </c>
      <c r="Q119" s="345">
        <v>480.09659467208763</v>
      </c>
    </row>
    <row r="120" spans="1:17" ht="15">
      <c r="A120" s="57">
        <v>56</v>
      </c>
      <c r="B120" s="355">
        <v>275</v>
      </c>
      <c r="C120" s="339">
        <v>300</v>
      </c>
      <c r="D120" s="339">
        <v>312</v>
      </c>
      <c r="E120" s="339">
        <v>330</v>
      </c>
      <c r="F120" s="339">
        <v>349</v>
      </c>
      <c r="G120" s="339">
        <v>364</v>
      </c>
      <c r="H120" s="356">
        <v>374.1312523229057</v>
      </c>
      <c r="I120" s="340">
        <v>383.94598210738224</v>
      </c>
      <c r="J120" s="340">
        <v>394.22478866076364</v>
      </c>
      <c r="K120" s="340">
        <v>404.9239921139941</v>
      </c>
      <c r="L120" s="340">
        <v>416.4174867929776</v>
      </c>
      <c r="M120" s="340">
        <v>428.2608703278773</v>
      </c>
      <c r="N120" s="340">
        <v>439.33049367448046</v>
      </c>
      <c r="O120" s="340">
        <v>449.28763135735596</v>
      </c>
      <c r="P120" s="340">
        <v>458.7423953483626</v>
      </c>
      <c r="Q120" s="345">
        <v>467.65776591337396</v>
      </c>
    </row>
    <row r="121" spans="1:17" ht="15">
      <c r="A121" s="57">
        <v>57</v>
      </c>
      <c r="B121" s="355">
        <v>259</v>
      </c>
      <c r="C121" s="339">
        <v>273</v>
      </c>
      <c r="D121" s="339">
        <v>297</v>
      </c>
      <c r="E121" s="339">
        <v>310</v>
      </c>
      <c r="F121" s="339">
        <v>328.983</v>
      </c>
      <c r="G121" s="339">
        <v>347</v>
      </c>
      <c r="H121" s="356">
        <v>359.34460781697834</v>
      </c>
      <c r="I121" s="340">
        <v>369.85027863256107</v>
      </c>
      <c r="J121" s="340">
        <v>379.6245882770875</v>
      </c>
      <c r="K121" s="340">
        <v>389.85966382740014</v>
      </c>
      <c r="L121" s="340">
        <v>400.5124979835448</v>
      </c>
      <c r="M121" s="340">
        <v>411.95314052240974</v>
      </c>
      <c r="N121" s="340">
        <v>423.7422242415732</v>
      </c>
      <c r="O121" s="340">
        <v>434.76787872410944</v>
      </c>
      <c r="P121" s="340">
        <v>444.6943995454397</v>
      </c>
      <c r="Q121" s="345">
        <v>454.1251750314148</v>
      </c>
    </row>
    <row r="122" spans="1:17" ht="15">
      <c r="A122" s="57">
        <v>58</v>
      </c>
      <c r="B122" s="355">
        <v>247</v>
      </c>
      <c r="C122" s="339">
        <v>256</v>
      </c>
      <c r="D122" s="339">
        <v>270</v>
      </c>
      <c r="E122" s="339">
        <v>294</v>
      </c>
      <c r="F122" s="339">
        <v>308</v>
      </c>
      <c r="G122" s="339">
        <v>327</v>
      </c>
      <c r="H122" s="356">
        <v>342.35377566887047</v>
      </c>
      <c r="I122" s="340">
        <v>354.9641918819116</v>
      </c>
      <c r="J122" s="340">
        <v>365.414131237703</v>
      </c>
      <c r="K122" s="340">
        <v>375.14358740192705</v>
      </c>
      <c r="L122" s="340">
        <v>385.33036299286675</v>
      </c>
      <c r="M122" s="340">
        <v>395.93213958182673</v>
      </c>
      <c r="N122" s="340">
        <v>407.3149650988699</v>
      </c>
      <c r="O122" s="340">
        <v>419.0446921451187</v>
      </c>
      <c r="P122" s="340">
        <v>430.0216983706665</v>
      </c>
      <c r="Q122" s="345">
        <v>439.9134422135483</v>
      </c>
    </row>
    <row r="123" spans="1:17" ht="15">
      <c r="A123" s="57">
        <v>59</v>
      </c>
      <c r="B123" s="355">
        <v>234</v>
      </c>
      <c r="C123" s="339">
        <v>244</v>
      </c>
      <c r="D123" s="339">
        <v>253</v>
      </c>
      <c r="E123" s="339">
        <v>268</v>
      </c>
      <c r="F123" s="359">
        <v>289.194</v>
      </c>
      <c r="G123" s="339">
        <v>305</v>
      </c>
      <c r="H123" s="356">
        <v>322.45718970978885</v>
      </c>
      <c r="I123" s="340">
        <v>337.9435737534413</v>
      </c>
      <c r="J123" s="340">
        <v>350.46339074888255</v>
      </c>
      <c r="K123" s="340">
        <v>360.85293902369665</v>
      </c>
      <c r="L123" s="340">
        <v>370.5331640645684</v>
      </c>
      <c r="M123" s="340">
        <v>380.6671404151826</v>
      </c>
      <c r="N123" s="340">
        <v>391.21324993653826</v>
      </c>
      <c r="O123" s="340">
        <v>402.53340742599914</v>
      </c>
      <c r="P123" s="340">
        <v>414.19883495591006</v>
      </c>
      <c r="Q123" s="345">
        <v>425.1225485874719</v>
      </c>
    </row>
    <row r="124" spans="1:17" ht="15">
      <c r="A124" s="57">
        <v>60</v>
      </c>
      <c r="B124" s="355">
        <v>228</v>
      </c>
      <c r="C124" s="339">
        <v>231</v>
      </c>
      <c r="D124" s="339">
        <v>242</v>
      </c>
      <c r="E124" s="339">
        <v>250</v>
      </c>
      <c r="F124" s="339">
        <v>265</v>
      </c>
      <c r="G124" s="339">
        <v>282</v>
      </c>
      <c r="H124" s="356">
        <v>300.71507189504393</v>
      </c>
      <c r="I124" s="340">
        <v>318.0891458351111</v>
      </c>
      <c r="J124" s="340">
        <v>333.43611199313773</v>
      </c>
      <c r="K124" s="340">
        <v>345.86008147137596</v>
      </c>
      <c r="L124" s="340">
        <v>356.18461720919277</v>
      </c>
      <c r="M124" s="340">
        <v>365.8112179586604</v>
      </c>
      <c r="N124" s="340">
        <v>375.8878849019733</v>
      </c>
      <c r="O124" s="340">
        <v>386.37370871837766</v>
      </c>
      <c r="P124" s="340">
        <v>397.62635505370974</v>
      </c>
      <c r="Q124" s="345">
        <v>409.2225444447673</v>
      </c>
    </row>
    <row r="125" spans="1:17" ht="15">
      <c r="A125" s="57">
        <v>61</v>
      </c>
      <c r="B125" s="355">
        <v>215</v>
      </c>
      <c r="C125" s="339">
        <v>226</v>
      </c>
      <c r="D125" s="339">
        <v>228</v>
      </c>
      <c r="E125" s="339">
        <v>237</v>
      </c>
      <c r="F125" s="339">
        <v>246</v>
      </c>
      <c r="G125" s="339">
        <v>261</v>
      </c>
      <c r="H125" s="356">
        <v>278.1846763887682</v>
      </c>
      <c r="I125" s="340">
        <v>296.4280525649957</v>
      </c>
      <c r="J125" s="340">
        <v>313.62253471201427</v>
      </c>
      <c r="K125" s="340">
        <v>328.8235897275376</v>
      </c>
      <c r="L125" s="340">
        <v>341.14610861859836</v>
      </c>
      <c r="M125" s="340">
        <v>351.4006980789171</v>
      </c>
      <c r="N125" s="340">
        <v>360.9689796435039</v>
      </c>
      <c r="O125" s="340">
        <v>370.98350894196426</v>
      </c>
      <c r="P125" s="340">
        <v>381.40409511650745</v>
      </c>
      <c r="Q125" s="345">
        <v>392.5840299523136</v>
      </c>
    </row>
    <row r="126" spans="1:17" ht="15">
      <c r="A126" s="57">
        <v>62</v>
      </c>
      <c r="B126" s="355">
        <v>208</v>
      </c>
      <c r="C126" s="339">
        <v>212</v>
      </c>
      <c r="D126" s="339">
        <v>223</v>
      </c>
      <c r="E126" s="339">
        <v>224</v>
      </c>
      <c r="F126" s="339">
        <v>232</v>
      </c>
      <c r="G126" s="339">
        <v>242</v>
      </c>
      <c r="H126" s="356">
        <v>256.92833835461386</v>
      </c>
      <c r="I126" s="340">
        <v>273.9829466902071</v>
      </c>
      <c r="J126" s="340">
        <v>292.0163595783867</v>
      </c>
      <c r="K126" s="340">
        <v>309.0225909235644</v>
      </c>
      <c r="L126" s="340">
        <v>324.0698816394902</v>
      </c>
      <c r="M126" s="340">
        <v>336.2843177724293</v>
      </c>
      <c r="N126" s="340">
        <v>346.46323292833875</v>
      </c>
      <c r="O126" s="340">
        <v>355.9677872593861</v>
      </c>
      <c r="P126" s="340">
        <v>365.9145965397019</v>
      </c>
      <c r="Q126" s="345">
        <v>376.264203401309</v>
      </c>
    </row>
    <row r="127" spans="1:17" ht="15">
      <c r="A127" s="57">
        <v>63</v>
      </c>
      <c r="B127" s="355">
        <v>197</v>
      </c>
      <c r="C127" s="339">
        <v>204</v>
      </c>
      <c r="D127" s="339">
        <v>208</v>
      </c>
      <c r="E127" s="339">
        <v>218</v>
      </c>
      <c r="F127" s="339">
        <v>220</v>
      </c>
      <c r="G127" s="339">
        <v>228</v>
      </c>
      <c r="H127" s="356">
        <v>238.47517320984988</v>
      </c>
      <c r="I127" s="340">
        <v>252.77465320751855</v>
      </c>
      <c r="J127" s="340">
        <v>269.61672486382344</v>
      </c>
      <c r="K127" s="340">
        <v>287.4284065404282</v>
      </c>
      <c r="L127" s="340">
        <v>304.23521890572385</v>
      </c>
      <c r="M127" s="340">
        <v>319.11876103266155</v>
      </c>
      <c r="N127" s="340">
        <v>331.21686935058136</v>
      </c>
      <c r="O127" s="340">
        <v>341.31313823618984</v>
      </c>
      <c r="P127" s="340">
        <v>350.74744292664747</v>
      </c>
      <c r="Q127" s="345">
        <v>360.6197747129753</v>
      </c>
    </row>
    <row r="128" spans="1:17" ht="15">
      <c r="A128" s="57">
        <v>64</v>
      </c>
      <c r="B128" s="360">
        <v>187</v>
      </c>
      <c r="C128" s="361">
        <v>194</v>
      </c>
      <c r="D128" s="339">
        <v>200</v>
      </c>
      <c r="E128" s="339">
        <v>204</v>
      </c>
      <c r="F128" s="339">
        <v>213</v>
      </c>
      <c r="G128" s="339">
        <v>217</v>
      </c>
      <c r="H128" s="356">
        <v>223.98722011381335</v>
      </c>
      <c r="I128" s="340">
        <v>234.3079550098651</v>
      </c>
      <c r="J128" s="340">
        <v>248.4187704510832</v>
      </c>
      <c r="K128" s="340">
        <v>265.034267903548</v>
      </c>
      <c r="L128" s="340">
        <v>282.60941290849985</v>
      </c>
      <c r="M128" s="340">
        <v>299.20282581181243</v>
      </c>
      <c r="N128" s="340">
        <v>313.9102158599037</v>
      </c>
      <c r="O128" s="340">
        <v>325.88187841579827</v>
      </c>
      <c r="P128" s="340">
        <v>335.8870464992252</v>
      </c>
      <c r="Q128" s="345">
        <v>345.24323242659216</v>
      </c>
    </row>
    <row r="129" spans="1:17" ht="15">
      <c r="A129" s="57">
        <v>65</v>
      </c>
      <c r="B129" s="362">
        <v>178</v>
      </c>
      <c r="C129" s="359">
        <v>184</v>
      </c>
      <c r="D129" s="339">
        <v>192</v>
      </c>
      <c r="E129" s="339">
        <v>196</v>
      </c>
      <c r="F129" s="339">
        <v>200</v>
      </c>
      <c r="G129" s="339">
        <v>207</v>
      </c>
      <c r="H129" s="356">
        <v>212.56902627763355</v>
      </c>
      <c r="I129" s="340">
        <v>219.74701549438817</v>
      </c>
      <c r="J129" s="340">
        <v>229.93193816470307</v>
      </c>
      <c r="K129" s="340">
        <v>243.84078488764675</v>
      </c>
      <c r="L129" s="340">
        <v>260.2141606278869</v>
      </c>
      <c r="M129" s="340">
        <v>277.5363561788228</v>
      </c>
      <c r="N129" s="340">
        <v>293.90084288358923</v>
      </c>
      <c r="O129" s="340">
        <v>308.4182697758148</v>
      </c>
      <c r="P129" s="340">
        <v>320.25217491069435</v>
      </c>
      <c r="Q129" s="345">
        <v>330.15674895667155</v>
      </c>
    </row>
    <row r="130" spans="1:17" ht="15">
      <c r="A130" s="57">
        <v>66</v>
      </c>
      <c r="B130" s="360">
        <v>169</v>
      </c>
      <c r="C130" s="361">
        <v>174</v>
      </c>
      <c r="D130" s="339">
        <v>180</v>
      </c>
      <c r="E130" s="339">
        <v>185</v>
      </c>
      <c r="F130" s="339">
        <v>190</v>
      </c>
      <c r="G130" s="339">
        <v>196</v>
      </c>
      <c r="H130" s="356">
        <v>202.32764190771735</v>
      </c>
      <c r="I130" s="340">
        <v>208.20957928068407</v>
      </c>
      <c r="J130" s="340">
        <v>215.29882744061965</v>
      </c>
      <c r="K130" s="340">
        <v>225.33722842756237</v>
      </c>
      <c r="L130" s="340">
        <v>239.02983742598218</v>
      </c>
      <c r="M130" s="340">
        <v>255.1444317064251</v>
      </c>
      <c r="N130" s="340">
        <v>272.19606798718837</v>
      </c>
      <c r="O130" s="340">
        <v>288.3149105900261</v>
      </c>
      <c r="P130" s="340">
        <v>302.62742816549735</v>
      </c>
      <c r="Q130" s="345">
        <v>314.311237285018</v>
      </c>
    </row>
    <row r="131" spans="1:17" ht="15">
      <c r="A131" s="57">
        <v>67</v>
      </c>
      <c r="B131" s="362">
        <v>158</v>
      </c>
      <c r="C131" s="359">
        <v>165</v>
      </c>
      <c r="D131" s="339">
        <v>170</v>
      </c>
      <c r="E131" s="339">
        <v>175</v>
      </c>
      <c r="F131" s="339">
        <v>180</v>
      </c>
      <c r="G131" s="339">
        <v>186</v>
      </c>
      <c r="H131" s="356">
        <v>191.9038211360025</v>
      </c>
      <c r="I131" s="340">
        <v>197.81991051412305</v>
      </c>
      <c r="J131" s="340">
        <v>203.62874500049034</v>
      </c>
      <c r="K131" s="340">
        <v>210.62043646364583</v>
      </c>
      <c r="L131" s="340">
        <v>220.5003441195048</v>
      </c>
      <c r="M131" s="340">
        <v>233.9607831250841</v>
      </c>
      <c r="N131" s="340">
        <v>249.79799276599863</v>
      </c>
      <c r="O131" s="340">
        <v>266.55938939171483</v>
      </c>
      <c r="P131" s="340">
        <v>282.4138727225714</v>
      </c>
      <c r="Q131" s="345">
        <v>296.50470967991856</v>
      </c>
    </row>
    <row r="132" spans="1:17" ht="15">
      <c r="A132" s="57">
        <v>68</v>
      </c>
      <c r="B132" s="355">
        <v>150</v>
      </c>
      <c r="C132" s="339">
        <v>154</v>
      </c>
      <c r="D132" s="339">
        <v>160</v>
      </c>
      <c r="E132" s="339">
        <v>165</v>
      </c>
      <c r="F132" s="339">
        <v>170</v>
      </c>
      <c r="G132" s="339">
        <v>176</v>
      </c>
      <c r="H132" s="356">
        <v>181.5859455876894</v>
      </c>
      <c r="I132" s="340">
        <v>187.2489393063494</v>
      </c>
      <c r="J132" s="340">
        <v>193.07900465845566</v>
      </c>
      <c r="K132" s="340">
        <v>198.80630969321228</v>
      </c>
      <c r="L132" s="340">
        <v>205.6906216689559</v>
      </c>
      <c r="M132" s="340">
        <v>215.39874645934032</v>
      </c>
      <c r="N132" s="340">
        <v>228.60937110129186</v>
      </c>
      <c r="O132" s="340">
        <v>244.14859883709494</v>
      </c>
      <c r="P132" s="340">
        <v>260.59794527361214</v>
      </c>
      <c r="Q132" s="345">
        <v>276.1672829149718</v>
      </c>
    </row>
    <row r="133" spans="1:17" ht="15">
      <c r="A133" s="57">
        <v>69</v>
      </c>
      <c r="B133" s="355">
        <v>148</v>
      </c>
      <c r="C133" s="339">
        <v>147</v>
      </c>
      <c r="D133" s="339">
        <v>150</v>
      </c>
      <c r="E133" s="339">
        <v>155</v>
      </c>
      <c r="F133" s="339">
        <v>160</v>
      </c>
      <c r="G133" s="339">
        <v>165</v>
      </c>
      <c r="H133" s="356">
        <v>170.95635936899538</v>
      </c>
      <c r="I133" s="340">
        <v>176.78252077191485</v>
      </c>
      <c r="J133" s="340">
        <v>182.35235352904175</v>
      </c>
      <c r="K133" s="340">
        <v>188.08690190532792</v>
      </c>
      <c r="L133" s="340">
        <v>193.72331741704204</v>
      </c>
      <c r="M133" s="340">
        <v>200.48936481334934</v>
      </c>
      <c r="N133" s="340">
        <v>210.01105467984556</v>
      </c>
      <c r="O133" s="340">
        <v>222.95247387123</v>
      </c>
      <c r="P133" s="340">
        <v>238.17109391225355</v>
      </c>
      <c r="Q133" s="345">
        <v>254.28440663527863</v>
      </c>
    </row>
    <row r="134" spans="1:17" ht="15">
      <c r="A134" s="57">
        <v>70</v>
      </c>
      <c r="B134" s="355">
        <v>140</v>
      </c>
      <c r="C134" s="339">
        <v>143</v>
      </c>
      <c r="D134" s="339">
        <v>142</v>
      </c>
      <c r="E134" s="339">
        <v>145</v>
      </c>
      <c r="F134" s="339">
        <v>150</v>
      </c>
      <c r="G134" s="339">
        <v>155</v>
      </c>
      <c r="H134" s="356">
        <v>160.238124336437</v>
      </c>
      <c r="I134" s="340">
        <v>166.01867241586083</v>
      </c>
      <c r="J134" s="340">
        <v>171.73199978286522</v>
      </c>
      <c r="K134" s="340">
        <v>177.19846243381573</v>
      </c>
      <c r="L134" s="340">
        <v>182.82703136523463</v>
      </c>
      <c r="M134" s="340">
        <v>188.36221540109827</v>
      </c>
      <c r="N134" s="340">
        <v>194.9980062147446</v>
      </c>
      <c r="O134" s="340">
        <v>204.31721449578237</v>
      </c>
      <c r="P134" s="340">
        <v>216.96827110627783</v>
      </c>
      <c r="Q134" s="345">
        <v>231.84161191554696</v>
      </c>
    </row>
    <row r="135" spans="1:17" ht="15">
      <c r="A135" s="57">
        <v>71</v>
      </c>
      <c r="B135" s="355">
        <v>131</v>
      </c>
      <c r="C135" s="339">
        <v>138</v>
      </c>
      <c r="D135" s="339">
        <v>137</v>
      </c>
      <c r="E135" s="339">
        <v>137</v>
      </c>
      <c r="F135" s="339">
        <v>141</v>
      </c>
      <c r="G135" s="339">
        <v>145</v>
      </c>
      <c r="H135" s="356">
        <v>149.78536677835424</v>
      </c>
      <c r="I135" s="340">
        <v>155.1807691341236</v>
      </c>
      <c r="J135" s="340">
        <v>160.83256736678607</v>
      </c>
      <c r="K135" s="340">
        <v>166.42157021468458</v>
      </c>
      <c r="L135" s="340">
        <v>171.77349702039947</v>
      </c>
      <c r="M135" s="340">
        <v>177.28462911085316</v>
      </c>
      <c r="N135" s="340">
        <v>182.70722735725406</v>
      </c>
      <c r="O135" s="340">
        <v>189.19963801822936</v>
      </c>
      <c r="P135" s="340">
        <v>198.2989167160293</v>
      </c>
      <c r="Q135" s="345">
        <v>210.63670054328267</v>
      </c>
    </row>
    <row r="136" spans="1:17" ht="15">
      <c r="A136" s="52">
        <v>72</v>
      </c>
      <c r="B136" s="355">
        <v>123</v>
      </c>
      <c r="C136" s="339">
        <v>127</v>
      </c>
      <c r="D136" s="339">
        <v>134</v>
      </c>
      <c r="E136" s="339">
        <v>132</v>
      </c>
      <c r="F136" s="339">
        <v>132</v>
      </c>
      <c r="G136" s="339">
        <v>136</v>
      </c>
      <c r="H136" s="356">
        <v>140.07940410987845</v>
      </c>
      <c r="I136" s="340">
        <v>144.617138842687</v>
      </c>
      <c r="J136" s="340">
        <v>149.87778569565396</v>
      </c>
      <c r="K136" s="340">
        <v>155.38839118502415</v>
      </c>
      <c r="L136" s="340">
        <v>160.84063932967507</v>
      </c>
      <c r="M136" s="340">
        <v>166.0659089281054</v>
      </c>
      <c r="N136" s="340">
        <v>171.44715079114926</v>
      </c>
      <c r="O136" s="340">
        <v>176.74479030014666</v>
      </c>
      <c r="P136" s="340">
        <v>183.07956788043424</v>
      </c>
      <c r="Q136" s="345">
        <v>191.94009446307825</v>
      </c>
    </row>
    <row r="137" spans="1:17" ht="15">
      <c r="A137" s="52">
        <v>73</v>
      </c>
      <c r="B137" s="355">
        <v>119</v>
      </c>
      <c r="C137" s="339">
        <v>119</v>
      </c>
      <c r="D137" s="339">
        <v>123</v>
      </c>
      <c r="E137" s="339">
        <v>129</v>
      </c>
      <c r="F137" s="339">
        <v>128</v>
      </c>
      <c r="G137" s="339">
        <v>129</v>
      </c>
      <c r="H137" s="356">
        <v>131.2715149084156</v>
      </c>
      <c r="I137" s="340">
        <v>134.79417431935227</v>
      </c>
      <c r="J137" s="340">
        <v>139.20937249064602</v>
      </c>
      <c r="K137" s="340">
        <v>144.3224841614742</v>
      </c>
      <c r="L137" s="340">
        <v>149.67857362557368</v>
      </c>
      <c r="M137" s="340">
        <v>154.98072260404834</v>
      </c>
      <c r="N137" s="340">
        <v>160.06627687082135</v>
      </c>
      <c r="O137" s="340">
        <v>165.3041964028532</v>
      </c>
      <c r="P137" s="340">
        <v>170.4634981958575</v>
      </c>
      <c r="Q137" s="345">
        <v>176.6252817401503</v>
      </c>
    </row>
    <row r="138" spans="1:17" ht="15">
      <c r="A138" s="52">
        <v>74</v>
      </c>
      <c r="B138" s="355">
        <v>103</v>
      </c>
      <c r="C138" s="339">
        <v>115</v>
      </c>
      <c r="D138" s="339">
        <v>114</v>
      </c>
      <c r="E138" s="339">
        <v>120</v>
      </c>
      <c r="F138" s="339">
        <v>124</v>
      </c>
      <c r="G138" s="339">
        <v>122</v>
      </c>
      <c r="H138" s="356">
        <v>123.5273885259331</v>
      </c>
      <c r="I138" s="340">
        <v>125.85447333666748</v>
      </c>
      <c r="J138" s="340">
        <v>129.27740668827647</v>
      </c>
      <c r="K138" s="340">
        <v>133.5578560655751</v>
      </c>
      <c r="L138" s="340">
        <v>138.50986259314018</v>
      </c>
      <c r="M138" s="340">
        <v>143.6972744428214</v>
      </c>
      <c r="N138" s="340">
        <v>148.83510429111735</v>
      </c>
      <c r="O138" s="340">
        <v>153.76698193441322</v>
      </c>
      <c r="P138" s="340">
        <v>158.8472008577496</v>
      </c>
      <c r="Q138" s="345">
        <v>163.85380875655963</v>
      </c>
    </row>
    <row r="139" spans="1:17" ht="15">
      <c r="A139" s="52" t="s">
        <v>102</v>
      </c>
      <c r="B139" s="355">
        <v>770</v>
      </c>
      <c r="C139" s="339">
        <v>820</v>
      </c>
      <c r="D139" s="339">
        <v>860</v>
      </c>
      <c r="E139" s="339">
        <v>880</v>
      </c>
      <c r="F139" s="339">
        <v>910</v>
      </c>
      <c r="G139" s="339">
        <v>929</v>
      </c>
      <c r="H139" s="356">
        <f>SUM('[1]POP'!$H$153:$H$178)</f>
        <v>965.2677530975556</v>
      </c>
      <c r="I139" s="340">
        <f>SUM('[1]POP'!$I$153:$I$178)</f>
        <v>1000.0620310105719</v>
      </c>
      <c r="J139" s="340">
        <f>SUM('[1]POP'!$J$153:$J$178)</f>
        <v>1033.876666732589</v>
      </c>
      <c r="K139" s="340">
        <f>SUM('[1]POP'!$K$153:$K$178)</f>
        <v>1067.6696950010594</v>
      </c>
      <c r="L139" s="340">
        <f>SUM('[1]POP'!$L$153:$L$178)</f>
        <v>1102.173099086449</v>
      </c>
      <c r="M139" s="340">
        <f>SUM('[1]POP'!$M$153:$M$178)</f>
        <v>1137.9499893892066</v>
      </c>
      <c r="N139" s="340">
        <f>SUM('[1]POP'!$N$153:$N$178)</f>
        <v>1175.1508590681274</v>
      </c>
      <c r="O139" s="340">
        <f>SUM('[1]POP'!$O$153:$O$178)</f>
        <v>1213.6657403894728</v>
      </c>
      <c r="P139" s="340">
        <f>SUM('[1]POP'!$P$153:$P$178)</f>
        <v>1253.251252986446</v>
      </c>
      <c r="Q139" s="345">
        <f>SUM('[1]POP'!$Q$153:$Q$178)</f>
        <v>1294.020128690611</v>
      </c>
    </row>
    <row r="140" spans="1:17" ht="15">
      <c r="A140" s="298" t="s">
        <v>15</v>
      </c>
      <c r="B140" s="72">
        <f aca="true" t="shared" si="77" ref="B140:Q140">SUM(B64:B139)</f>
        <v>30170</v>
      </c>
      <c r="C140" s="72">
        <f t="shared" si="77"/>
        <v>30423</v>
      </c>
      <c r="D140" s="72">
        <f t="shared" si="77"/>
        <v>30638</v>
      </c>
      <c r="E140" s="72">
        <f t="shared" si="77"/>
        <v>30802</v>
      </c>
      <c r="F140" s="72">
        <f t="shared" si="77"/>
        <v>30958.895</v>
      </c>
      <c r="G140" s="72">
        <f t="shared" si="77"/>
        <v>31086</v>
      </c>
      <c r="H140" s="72">
        <f t="shared" si="77"/>
        <v>31209.714652563904</v>
      </c>
      <c r="I140" s="297">
        <f t="shared" si="77"/>
        <v>31327.618910440997</v>
      </c>
      <c r="J140" s="297">
        <f t="shared" si="77"/>
        <v>31438.284840470136</v>
      </c>
      <c r="K140" s="297">
        <f t="shared" si="77"/>
        <v>31541.795521478747</v>
      </c>
      <c r="L140" s="297">
        <f t="shared" si="77"/>
        <v>31638.245533558005</v>
      </c>
      <c r="M140" s="297">
        <f t="shared" si="77"/>
        <v>31727.725936948853</v>
      </c>
      <c r="N140" s="297">
        <f t="shared" si="77"/>
        <v>31807.391037793874</v>
      </c>
      <c r="O140" s="297">
        <f t="shared" si="77"/>
        <v>31877.310023378697</v>
      </c>
      <c r="P140" s="297">
        <f t="shared" si="77"/>
        <v>31937.495862681248</v>
      </c>
      <c r="Q140" s="297">
        <f t="shared" si="77"/>
        <v>31987.910120472177</v>
      </c>
    </row>
    <row r="141" spans="1:17" ht="15">
      <c r="A141" s="1"/>
      <c r="B141" s="1"/>
      <c r="C141" s="1"/>
      <c r="D141" s="1"/>
      <c r="E141" s="1"/>
      <c r="F141" s="220"/>
      <c r="G141" s="1"/>
      <c r="H141" s="1"/>
      <c r="I141" s="1"/>
      <c r="J141" s="1"/>
      <c r="K141" s="1"/>
      <c r="L141" s="1"/>
      <c r="M141" s="1"/>
      <c r="N141" s="1"/>
      <c r="O141" s="1"/>
      <c r="P141" s="1"/>
      <c r="Q141" s="1"/>
    </row>
    <row r="142" spans="1:17" ht="17.25">
      <c r="A142" s="2" t="s">
        <v>23</v>
      </c>
      <c r="B142" s="1"/>
      <c r="C142" s="1"/>
      <c r="D142" s="1"/>
      <c r="E142" s="1"/>
      <c r="F142" s="37"/>
      <c r="G142" s="1"/>
      <c r="H142" s="1"/>
      <c r="I142" s="1"/>
      <c r="J142" s="1"/>
      <c r="K142" s="1"/>
      <c r="L142" s="1"/>
      <c r="M142" s="1"/>
      <c r="N142" s="1"/>
      <c r="O142" s="1"/>
      <c r="P142" s="1"/>
      <c r="Q142" s="1"/>
    </row>
    <row r="143" spans="1:17" ht="15">
      <c r="A143" s="298" t="s">
        <v>1</v>
      </c>
      <c r="B143" s="298">
        <v>2005</v>
      </c>
      <c r="C143" s="298">
        <v>2006</v>
      </c>
      <c r="D143" s="298">
        <v>2007</v>
      </c>
      <c r="E143" s="298">
        <v>2008</v>
      </c>
      <c r="F143" s="298">
        <v>2009</v>
      </c>
      <c r="G143" s="298">
        <v>2010</v>
      </c>
      <c r="H143" s="298">
        <v>2011</v>
      </c>
      <c r="I143" s="298">
        <v>2012</v>
      </c>
      <c r="J143" s="298">
        <v>2013</v>
      </c>
      <c r="K143" s="298">
        <v>2014</v>
      </c>
      <c r="L143" s="298">
        <v>2015</v>
      </c>
      <c r="M143" s="298">
        <v>2016</v>
      </c>
      <c r="N143" s="298">
        <v>2017</v>
      </c>
      <c r="O143" s="298">
        <v>2018</v>
      </c>
      <c r="P143" s="298">
        <v>2019</v>
      </c>
      <c r="Q143" s="298">
        <v>2020</v>
      </c>
    </row>
    <row r="144" spans="1:17" ht="15">
      <c r="A144" s="57">
        <v>0</v>
      </c>
      <c r="B144" s="363">
        <v>405</v>
      </c>
      <c r="C144" s="363">
        <v>396</v>
      </c>
      <c r="D144" s="363">
        <v>388</v>
      </c>
      <c r="E144" s="363">
        <v>380</v>
      </c>
      <c r="F144" s="363">
        <v>371</v>
      </c>
      <c r="G144" s="363">
        <v>362.8678134552835</v>
      </c>
      <c r="H144" s="363">
        <v>372.7604507048399</v>
      </c>
      <c r="I144" s="364">
        <v>369.14736843315256</v>
      </c>
      <c r="J144" s="365">
        <v>365.84451830216767</v>
      </c>
      <c r="K144" s="365">
        <v>362.82694782550215</v>
      </c>
      <c r="L144" s="365">
        <v>360.0678459798979</v>
      </c>
      <c r="M144" s="365">
        <v>357.52757169396773</v>
      </c>
      <c r="N144" s="365">
        <v>352.37781908051045</v>
      </c>
      <c r="O144" s="365">
        <v>347.3707830670256</v>
      </c>
      <c r="P144" s="365">
        <v>342.45215897591055</v>
      </c>
      <c r="Q144" s="366">
        <v>337.57257984225225</v>
      </c>
    </row>
    <row r="145" spans="1:17" ht="15">
      <c r="A145" s="57">
        <v>1</v>
      </c>
      <c r="B145" s="363">
        <v>413</v>
      </c>
      <c r="C145" s="363">
        <v>403</v>
      </c>
      <c r="D145" s="363">
        <v>395</v>
      </c>
      <c r="E145" s="363">
        <v>387</v>
      </c>
      <c r="F145" s="363">
        <v>379</v>
      </c>
      <c r="G145" s="363">
        <v>370.2087722555534</v>
      </c>
      <c r="H145" s="363">
        <v>361.28130951470894</v>
      </c>
      <c r="I145" s="367">
        <v>371.16745317203436</v>
      </c>
      <c r="J145" s="368">
        <v>367.6051862739623</v>
      </c>
      <c r="K145" s="368">
        <v>364.350280573966</v>
      </c>
      <c r="L145" s="368">
        <v>361.37801366299004</v>
      </c>
      <c r="M145" s="368">
        <v>358.66179861067656</v>
      </c>
      <c r="N145" s="368">
        <v>356.1622541325565</v>
      </c>
      <c r="O145" s="368">
        <v>351.06173245023854</v>
      </c>
      <c r="P145" s="368">
        <v>346.10177270131305</v>
      </c>
      <c r="Q145" s="369">
        <v>341.22835286547433</v>
      </c>
    </row>
    <row r="146" spans="1:17" ht="15">
      <c r="A146" s="57">
        <v>2</v>
      </c>
      <c r="B146" s="363">
        <v>418</v>
      </c>
      <c r="C146" s="363">
        <v>412</v>
      </c>
      <c r="D146" s="363">
        <v>402</v>
      </c>
      <c r="E146" s="363">
        <v>394</v>
      </c>
      <c r="F146" s="363">
        <v>386</v>
      </c>
      <c r="G146" s="363">
        <v>377.51837779768266</v>
      </c>
      <c r="H146" s="363">
        <v>369.3924416180067</v>
      </c>
      <c r="I146" s="367">
        <v>360.50195648087396</v>
      </c>
      <c r="J146" s="368">
        <v>370.38403778406996</v>
      </c>
      <c r="K146" s="368">
        <v>366.8459430882083</v>
      </c>
      <c r="L146" s="368">
        <v>363.6138342074164</v>
      </c>
      <c r="M146" s="368">
        <v>360.6630993938215</v>
      </c>
      <c r="N146" s="368">
        <v>357.9672597059846</v>
      </c>
      <c r="O146" s="368">
        <v>355.4870597985014</v>
      </c>
      <c r="P146" s="368">
        <v>350.41012653844507</v>
      </c>
      <c r="Q146" s="369">
        <v>345.4727332954194</v>
      </c>
    </row>
    <row r="147" spans="1:17" ht="15">
      <c r="A147" s="57">
        <v>3</v>
      </c>
      <c r="B147" s="363">
        <v>428</v>
      </c>
      <c r="C147" s="363">
        <v>417</v>
      </c>
      <c r="D147" s="363">
        <v>410</v>
      </c>
      <c r="E147" s="363">
        <v>401</v>
      </c>
      <c r="F147" s="363">
        <v>393</v>
      </c>
      <c r="G147" s="363">
        <v>384.8171022275131</v>
      </c>
      <c r="H147" s="363">
        <v>376.8853287226219</v>
      </c>
      <c r="I147" s="367">
        <v>368.78636322481873</v>
      </c>
      <c r="J147" s="368">
        <v>359.9231209839125</v>
      </c>
      <c r="K147" s="368">
        <v>369.8019997489218</v>
      </c>
      <c r="L147" s="368">
        <v>366.2816804083006</v>
      </c>
      <c r="M147" s="368">
        <v>363.0663328101159</v>
      </c>
      <c r="N147" s="368">
        <v>360.131427129235</v>
      </c>
      <c r="O147" s="368">
        <v>357.4505643872761</v>
      </c>
      <c r="P147" s="368">
        <v>354.98458259585243</v>
      </c>
      <c r="Q147" s="369">
        <v>349.9250350242254</v>
      </c>
    </row>
    <row r="148" spans="1:17" ht="15">
      <c r="A148" s="57">
        <v>4</v>
      </c>
      <c r="B148" s="363">
        <v>433</v>
      </c>
      <c r="C148" s="363">
        <v>426</v>
      </c>
      <c r="D148" s="363">
        <v>416</v>
      </c>
      <c r="E148" s="363">
        <v>409</v>
      </c>
      <c r="F148" s="363">
        <v>400</v>
      </c>
      <c r="G148" s="363">
        <v>392.1254176908863</v>
      </c>
      <c r="H148" s="363">
        <v>384.33853034145864</v>
      </c>
      <c r="I148" s="367">
        <v>376.4266669224646</v>
      </c>
      <c r="J148" s="368">
        <v>368.3471103052862</v>
      </c>
      <c r="K148" s="368">
        <v>359.50350532214287</v>
      </c>
      <c r="L148" s="368">
        <v>369.37995247467836</v>
      </c>
      <c r="M148" s="368">
        <v>365.87241362650684</v>
      </c>
      <c r="N148" s="368">
        <v>362.66911584332735</v>
      </c>
      <c r="O148" s="368">
        <v>359.74558856325194</v>
      </c>
      <c r="P148" s="368">
        <v>357.075490660191</v>
      </c>
      <c r="Q148" s="369">
        <v>354.6197277400721</v>
      </c>
    </row>
    <row r="149" spans="1:17" ht="15">
      <c r="A149" s="57">
        <v>5</v>
      </c>
      <c r="B149" s="363">
        <v>441</v>
      </c>
      <c r="C149" s="363">
        <v>432</v>
      </c>
      <c r="D149" s="363">
        <v>424.601</v>
      </c>
      <c r="E149" s="363">
        <v>416</v>
      </c>
      <c r="F149" s="363">
        <v>407.597</v>
      </c>
      <c r="G149" s="363">
        <v>399.4705542243728</v>
      </c>
      <c r="H149" s="363">
        <v>391.7742129405219</v>
      </c>
      <c r="I149" s="367">
        <v>384.0016517170074</v>
      </c>
      <c r="J149" s="368">
        <v>376.10372049343965</v>
      </c>
      <c r="K149" s="368">
        <v>368.0377645297976</v>
      </c>
      <c r="L149" s="368">
        <v>359.20792522053637</v>
      </c>
      <c r="M149" s="368">
        <v>369.0825937796529</v>
      </c>
      <c r="N149" s="368">
        <v>365.5839946304887</v>
      </c>
      <c r="O149" s="368">
        <v>362.38912457572815</v>
      </c>
      <c r="P149" s="368">
        <v>359.4735547389549</v>
      </c>
      <c r="Q149" s="369">
        <v>356.8109846888574</v>
      </c>
    </row>
    <row r="150" spans="1:17" ht="15">
      <c r="A150" s="57">
        <v>6</v>
      </c>
      <c r="B150" s="363">
        <v>445</v>
      </c>
      <c r="C150" s="363">
        <v>440</v>
      </c>
      <c r="D150" s="363">
        <v>431</v>
      </c>
      <c r="E150" s="363">
        <v>423</v>
      </c>
      <c r="F150" s="363">
        <v>415</v>
      </c>
      <c r="G150" s="363">
        <v>406.87298397381414</v>
      </c>
      <c r="H150" s="363">
        <v>399.2197404822243</v>
      </c>
      <c r="I150" s="367">
        <v>391.53347222413805</v>
      </c>
      <c r="J150" s="368">
        <v>383.77067898878664</v>
      </c>
      <c r="K150" s="368">
        <v>375.882260246654</v>
      </c>
      <c r="L150" s="368">
        <v>367.8255916949853</v>
      </c>
      <c r="M150" s="368">
        <v>359.0051555274542</v>
      </c>
      <c r="N150" s="368">
        <v>368.878564529608</v>
      </c>
      <c r="O150" s="368">
        <v>365.38606035804247</v>
      </c>
      <c r="P150" s="368">
        <v>362.19693575951703</v>
      </c>
      <c r="Q150" s="369">
        <v>359.28679042329065</v>
      </c>
    </row>
    <row r="151" spans="1:17" ht="15">
      <c r="A151" s="57">
        <v>7</v>
      </c>
      <c r="B151" s="363">
        <v>449</v>
      </c>
      <c r="C151" s="363">
        <v>444</v>
      </c>
      <c r="D151" s="363">
        <v>439</v>
      </c>
      <c r="E151" s="363">
        <v>430</v>
      </c>
      <c r="F151" s="363">
        <v>422</v>
      </c>
      <c r="G151" s="363">
        <v>414.3329054128652</v>
      </c>
      <c r="H151" s="363">
        <v>406.6948416506058</v>
      </c>
      <c r="I151" s="367">
        <v>399.0486668066159</v>
      </c>
      <c r="J151" s="368">
        <v>391.36923560899584</v>
      </c>
      <c r="K151" s="368">
        <v>383.61308135874657</v>
      </c>
      <c r="L151" s="368">
        <v>375.73112857345353</v>
      </c>
      <c r="M151" s="368">
        <v>367.6807738350451</v>
      </c>
      <c r="N151" s="368">
        <v>358.8667320852079</v>
      </c>
      <c r="O151" s="368">
        <v>368.7392569866546</v>
      </c>
      <c r="P151" s="368">
        <v>365.2508904954095</v>
      </c>
      <c r="Q151" s="369">
        <v>362.0656660641975</v>
      </c>
    </row>
    <row r="152" spans="1:17" ht="15">
      <c r="A152" s="57">
        <v>8</v>
      </c>
      <c r="B152" s="363">
        <v>453</v>
      </c>
      <c r="C152" s="363">
        <v>449</v>
      </c>
      <c r="D152" s="363">
        <v>444</v>
      </c>
      <c r="E152" s="363">
        <v>438</v>
      </c>
      <c r="F152" s="363">
        <v>429</v>
      </c>
      <c r="G152" s="363">
        <v>421.8167275615359</v>
      </c>
      <c r="H152" s="363">
        <v>414.198842925853</v>
      </c>
      <c r="I152" s="367">
        <v>406.56604615803525</v>
      </c>
      <c r="J152" s="368">
        <v>398.9249584123684</v>
      </c>
      <c r="K152" s="368">
        <v>391.2504542277519</v>
      </c>
      <c r="L152" s="368">
        <v>383.4990845669759</v>
      </c>
      <c r="M152" s="368">
        <v>375.6217921487974</v>
      </c>
      <c r="N152" s="368">
        <v>367.5759887380908</v>
      </c>
      <c r="O152" s="368">
        <v>358.76655777398946</v>
      </c>
      <c r="P152" s="368">
        <v>368.6384265333019</v>
      </c>
      <c r="Q152" s="369">
        <v>365.1530388551687</v>
      </c>
    </row>
    <row r="153" spans="1:17" ht="15">
      <c r="A153" s="57">
        <v>9</v>
      </c>
      <c r="B153" s="363">
        <v>455</v>
      </c>
      <c r="C153" s="363">
        <v>453</v>
      </c>
      <c r="D153" s="363">
        <v>449</v>
      </c>
      <c r="E153" s="363">
        <v>443</v>
      </c>
      <c r="F153" s="363">
        <v>437</v>
      </c>
      <c r="G153" s="363">
        <v>429.1894910789025</v>
      </c>
      <c r="H153" s="363">
        <v>421.6995045504595</v>
      </c>
      <c r="I153" s="367">
        <v>414.08618001586984</v>
      </c>
      <c r="J153" s="368">
        <v>406.45778978433543</v>
      </c>
      <c r="K153" s="368">
        <v>398.820963741227</v>
      </c>
      <c r="L153" s="368">
        <v>391.1505873349037</v>
      </c>
      <c r="M153" s="368">
        <v>383.40322644821737</v>
      </c>
      <c r="N153" s="368">
        <v>375.5298391668358</v>
      </c>
      <c r="O153" s="368">
        <v>367.4878500786886</v>
      </c>
      <c r="P153" s="368">
        <v>358.68228441899873</v>
      </c>
      <c r="Q153" s="369">
        <v>368.5535879507502</v>
      </c>
    </row>
    <row r="154" spans="1:17" ht="15">
      <c r="A154" s="57">
        <v>10</v>
      </c>
      <c r="B154" s="363">
        <v>458</v>
      </c>
      <c r="C154" s="363">
        <v>455</v>
      </c>
      <c r="D154" s="363">
        <v>453</v>
      </c>
      <c r="E154" s="363">
        <v>448</v>
      </c>
      <c r="F154" s="363">
        <v>443</v>
      </c>
      <c r="G154" s="363">
        <v>436.2081103723777</v>
      </c>
      <c r="H154" s="363">
        <v>429.0674172771671</v>
      </c>
      <c r="I154" s="367">
        <v>421.58210467707227</v>
      </c>
      <c r="J154" s="368">
        <v>413.97332683243707</v>
      </c>
      <c r="K154" s="368">
        <v>406.34933607101595</v>
      </c>
      <c r="L154" s="368">
        <v>398.71676504595547</v>
      </c>
      <c r="M154" s="368">
        <v>391.0505102077842</v>
      </c>
      <c r="N154" s="368">
        <v>383.3071524512906</v>
      </c>
      <c r="O154" s="368">
        <v>375.43766531587784</v>
      </c>
      <c r="P154" s="368">
        <v>367.3994862883511</v>
      </c>
      <c r="Q154" s="369">
        <v>358.5977828202929</v>
      </c>
    </row>
    <row r="155" spans="1:17" ht="15">
      <c r="A155" s="57">
        <v>11</v>
      </c>
      <c r="B155" s="363">
        <v>460</v>
      </c>
      <c r="C155" s="363">
        <v>457</v>
      </c>
      <c r="D155" s="363">
        <v>454</v>
      </c>
      <c r="E155" s="363">
        <v>452</v>
      </c>
      <c r="F155" s="363">
        <v>448</v>
      </c>
      <c r="G155" s="363">
        <v>442.5348893791691</v>
      </c>
      <c r="H155" s="363">
        <v>436.0680100628772</v>
      </c>
      <c r="I155" s="367">
        <v>428.9325301339952</v>
      </c>
      <c r="J155" s="368">
        <v>421.4523585616895</v>
      </c>
      <c r="K155" s="368">
        <v>413.8485887027863</v>
      </c>
      <c r="L155" s="368">
        <v>406.2294439442585</v>
      </c>
      <c r="M155" s="368">
        <v>398.60156008012694</v>
      </c>
      <c r="N155" s="368">
        <v>390.93984579062226</v>
      </c>
      <c r="O155" s="368">
        <v>383.20089862489664</v>
      </c>
      <c r="P155" s="368">
        <v>375.33570925960817</v>
      </c>
      <c r="Q155" s="369">
        <v>367.30172948832313</v>
      </c>
    </row>
    <row r="156" spans="1:17" ht="15">
      <c r="A156" s="57">
        <v>12</v>
      </c>
      <c r="B156" s="363">
        <v>460</v>
      </c>
      <c r="C156" s="363">
        <v>460</v>
      </c>
      <c r="D156" s="363">
        <v>457</v>
      </c>
      <c r="E156" s="363">
        <v>454</v>
      </c>
      <c r="F156" s="363">
        <v>452</v>
      </c>
      <c r="G156" s="363">
        <v>447.79158469211075</v>
      </c>
      <c r="H156" s="363">
        <v>442.373188782823</v>
      </c>
      <c r="I156" s="367">
        <v>435.9120449938641</v>
      </c>
      <c r="J156" s="368">
        <v>428.7823409173916</v>
      </c>
      <c r="K156" s="368">
        <v>421.30787362902066</v>
      </c>
      <c r="L156" s="368">
        <v>413.70966076967204</v>
      </c>
      <c r="M156" s="368">
        <v>406.0958935970078</v>
      </c>
      <c r="N156" s="368">
        <v>398.47321147777825</v>
      </c>
      <c r="O156" s="368">
        <v>390.8165367745772</v>
      </c>
      <c r="P156" s="368">
        <v>383.08248563996887</v>
      </c>
      <c r="Q156" s="369">
        <v>375.2220678870265</v>
      </c>
    </row>
    <row r="157" spans="1:17" ht="15">
      <c r="A157" s="57">
        <v>13</v>
      </c>
      <c r="B157" s="363">
        <v>455</v>
      </c>
      <c r="C157" s="363">
        <v>459</v>
      </c>
      <c r="D157" s="363">
        <v>460</v>
      </c>
      <c r="E157" s="363">
        <v>457</v>
      </c>
      <c r="F157" s="363">
        <v>454</v>
      </c>
      <c r="G157" s="363">
        <v>451.7148370464289</v>
      </c>
      <c r="H157" s="363">
        <v>447.6130483048794</v>
      </c>
      <c r="I157" s="367">
        <v>442.20054189765517</v>
      </c>
      <c r="J157" s="368">
        <v>435.7454907347655</v>
      </c>
      <c r="K157" s="368">
        <v>428.62193200180553</v>
      </c>
      <c r="L157" s="368">
        <v>421.1535345830536</v>
      </c>
      <c r="M157" s="368">
        <v>413.5612353834417</v>
      </c>
      <c r="N157" s="368">
        <v>405.95319142809836</v>
      </c>
      <c r="O157" s="368">
        <v>398.3360459632502</v>
      </c>
      <c r="P157" s="368">
        <v>390.6847360189373</v>
      </c>
      <c r="Q157" s="369">
        <v>382.95589766659657</v>
      </c>
    </row>
    <row r="158" spans="1:17" ht="15">
      <c r="A158" s="57">
        <v>14</v>
      </c>
      <c r="B158" s="363">
        <v>448</v>
      </c>
      <c r="C158" s="363">
        <v>455</v>
      </c>
      <c r="D158" s="363">
        <v>459</v>
      </c>
      <c r="E158" s="363">
        <v>460</v>
      </c>
      <c r="F158" s="363">
        <v>457</v>
      </c>
      <c r="G158" s="363">
        <v>454.3791817137964</v>
      </c>
      <c r="H158" s="363">
        <v>451.5261729157833</v>
      </c>
      <c r="I158" s="367">
        <v>447.43004557961416</v>
      </c>
      <c r="J158" s="368">
        <v>442.02354246909107</v>
      </c>
      <c r="K158" s="368">
        <v>435.57471299585126</v>
      </c>
      <c r="L158" s="368">
        <v>428.4574309915596</v>
      </c>
      <c r="M158" s="368">
        <v>420.9952340821026</v>
      </c>
      <c r="N158" s="368">
        <v>413.4089764950794</v>
      </c>
      <c r="O158" s="368">
        <v>405.806780217318</v>
      </c>
      <c r="P158" s="368">
        <v>398.1952925221722</v>
      </c>
      <c r="Q158" s="369">
        <v>390.54946552154286</v>
      </c>
    </row>
    <row r="159" spans="1:17" ht="15">
      <c r="A159" s="57">
        <v>15</v>
      </c>
      <c r="B159" s="363">
        <v>442</v>
      </c>
      <c r="C159" s="363">
        <v>448</v>
      </c>
      <c r="D159" s="363">
        <v>455</v>
      </c>
      <c r="E159" s="363">
        <v>459</v>
      </c>
      <c r="F159" s="363">
        <v>459</v>
      </c>
      <c r="G159" s="363">
        <v>457.1675053729617</v>
      </c>
      <c r="H159" s="363">
        <v>454.1795865264208</v>
      </c>
      <c r="I159" s="367">
        <v>451.3320147421645</v>
      </c>
      <c r="J159" s="368">
        <v>447.2416775923336</v>
      </c>
      <c r="K159" s="368">
        <v>441.8413272151961</v>
      </c>
      <c r="L159" s="368">
        <v>435.3988762631385</v>
      </c>
      <c r="M159" s="368">
        <v>428.28803065859046</v>
      </c>
      <c r="N159" s="368">
        <v>420.83219305423916</v>
      </c>
      <c r="O159" s="368">
        <v>413.2521326427296</v>
      </c>
      <c r="P159" s="368">
        <v>405.65593538129065</v>
      </c>
      <c r="Q159" s="369">
        <v>398.05025272430805</v>
      </c>
    </row>
    <row r="160" spans="1:17" ht="15">
      <c r="A160" s="57">
        <v>16</v>
      </c>
      <c r="B160" s="363">
        <v>436</v>
      </c>
      <c r="C160" s="363">
        <v>442</v>
      </c>
      <c r="D160" s="363">
        <v>448</v>
      </c>
      <c r="E160" s="363">
        <v>455</v>
      </c>
      <c r="F160" s="363">
        <v>459</v>
      </c>
      <c r="G160" s="363">
        <v>459.3319646000423</v>
      </c>
      <c r="H160" s="363">
        <v>456.94866814283824</v>
      </c>
      <c r="I160" s="367">
        <v>453.9667596297151</v>
      </c>
      <c r="J160" s="368">
        <v>451.1249451386996</v>
      </c>
      <c r="K160" s="368">
        <v>447.0407534361123</v>
      </c>
      <c r="L160" s="368">
        <v>441.6469361382247</v>
      </c>
      <c r="M160" s="368">
        <v>435.2112603773002</v>
      </c>
      <c r="N160" s="368">
        <v>428.10725320898536</v>
      </c>
      <c r="O160" s="368">
        <v>420.65817343969724</v>
      </c>
      <c r="P160" s="368">
        <v>413.0846996100648</v>
      </c>
      <c r="Q160" s="369">
        <v>405.4948792657393</v>
      </c>
    </row>
    <row r="161" spans="1:17" ht="15">
      <c r="A161" s="57">
        <v>17</v>
      </c>
      <c r="B161" s="363">
        <v>434</v>
      </c>
      <c r="C161" s="363">
        <v>436</v>
      </c>
      <c r="D161" s="363">
        <v>442</v>
      </c>
      <c r="E161" s="363">
        <v>448</v>
      </c>
      <c r="F161" s="363">
        <v>454</v>
      </c>
      <c r="G161" s="363">
        <v>458.6677902048714</v>
      </c>
      <c r="H161" s="363">
        <v>459.09050588980807</v>
      </c>
      <c r="I161" s="367">
        <v>456.71351578431006</v>
      </c>
      <c r="J161" s="368">
        <v>453.7380206757331</v>
      </c>
      <c r="K161" s="368">
        <v>450.9023602679196</v>
      </c>
      <c r="L161" s="368">
        <v>446.82474074243805</v>
      </c>
      <c r="M161" s="368">
        <v>441.4379135874238</v>
      </c>
      <c r="N161" s="368">
        <v>435.00948985895883</v>
      </c>
      <c r="O161" s="368">
        <v>427.91280455048616</v>
      </c>
      <c r="P161" s="368">
        <v>420.4709619334519</v>
      </c>
      <c r="Q161" s="369">
        <v>412.9045431230711</v>
      </c>
    </row>
    <row r="162" spans="1:17" ht="15">
      <c r="A162" s="57">
        <v>18</v>
      </c>
      <c r="B162" s="363">
        <v>436</v>
      </c>
      <c r="C162" s="363">
        <v>433</v>
      </c>
      <c r="D162" s="363">
        <v>436</v>
      </c>
      <c r="E162" s="363">
        <v>442</v>
      </c>
      <c r="F162" s="363">
        <v>448</v>
      </c>
      <c r="G162" s="363">
        <v>454.4470154884434</v>
      </c>
      <c r="H162" s="363">
        <v>458.408624022411</v>
      </c>
      <c r="I162" s="367">
        <v>458.8365504174945</v>
      </c>
      <c r="J162" s="368">
        <v>456.4661435637109</v>
      </c>
      <c r="K162" s="368">
        <v>453.4973579559146</v>
      </c>
      <c r="L162" s="368">
        <v>450.66813508338186</v>
      </c>
      <c r="M162" s="368">
        <v>446.5973942034651</v>
      </c>
      <c r="N162" s="368">
        <v>441.2178871180104</v>
      </c>
      <c r="O162" s="368">
        <v>434.7970609984197</v>
      </c>
      <c r="P162" s="368">
        <v>427.7080489313006</v>
      </c>
      <c r="Q162" s="369">
        <v>420.2737926441008</v>
      </c>
    </row>
    <row r="163" spans="1:17" ht="15">
      <c r="A163" s="57">
        <v>19</v>
      </c>
      <c r="B163" s="363">
        <v>441</v>
      </c>
      <c r="C163" s="363">
        <v>435</v>
      </c>
      <c r="D163" s="363">
        <v>433</v>
      </c>
      <c r="E163" s="363">
        <v>436</v>
      </c>
      <c r="F163" s="363">
        <v>441</v>
      </c>
      <c r="G163" s="363">
        <v>447.96407912906636</v>
      </c>
      <c r="H163" s="363">
        <v>454.1761647114318</v>
      </c>
      <c r="I163" s="367">
        <v>458.14114306107655</v>
      </c>
      <c r="J163" s="368">
        <v>458.57439418598466</v>
      </c>
      <c r="K163" s="368">
        <v>456.2107430041562</v>
      </c>
      <c r="L163" s="368">
        <v>453.24884433357545</v>
      </c>
      <c r="M163" s="368">
        <v>450.4262287170111</v>
      </c>
      <c r="N163" s="368">
        <v>446.3625520960464</v>
      </c>
      <c r="O163" s="368">
        <v>440.9905670508846</v>
      </c>
      <c r="P163" s="368">
        <v>434.5775518459346</v>
      </c>
      <c r="Q163" s="369">
        <v>427.49643122733187</v>
      </c>
    </row>
    <row r="164" spans="1:17" ht="15">
      <c r="A164" s="57">
        <v>20</v>
      </c>
      <c r="B164" s="363">
        <v>446</v>
      </c>
      <c r="C164" s="363">
        <v>441</v>
      </c>
      <c r="D164" s="363">
        <v>435</v>
      </c>
      <c r="E164" s="363">
        <v>433</v>
      </c>
      <c r="F164" s="363">
        <v>435</v>
      </c>
      <c r="G164" s="363">
        <v>440.58388604429797</v>
      </c>
      <c r="H164" s="363">
        <v>447.68615209795854</v>
      </c>
      <c r="I164" s="367">
        <v>453.9002850559877</v>
      </c>
      <c r="J164" s="368">
        <v>457.86863999964186</v>
      </c>
      <c r="K164" s="368">
        <v>458.3072732752692</v>
      </c>
      <c r="L164" s="368">
        <v>455.9504629501082</v>
      </c>
      <c r="M164" s="368">
        <v>452.9955400995872</v>
      </c>
      <c r="N164" s="368">
        <v>450.1796166438352</v>
      </c>
      <c r="O164" s="368">
        <v>446.12309974875876</v>
      </c>
      <c r="P164" s="368">
        <v>440.7587432403078</v>
      </c>
      <c r="Q164" s="369">
        <v>434.3536535347995</v>
      </c>
    </row>
    <row r="165" spans="1:17" ht="15">
      <c r="A165" s="57">
        <v>21</v>
      </c>
      <c r="B165" s="363">
        <v>455</v>
      </c>
      <c r="C165" s="363">
        <v>446</v>
      </c>
      <c r="D165" s="363">
        <v>441</v>
      </c>
      <c r="E165" s="363">
        <v>435</v>
      </c>
      <c r="F165" s="363">
        <v>433</v>
      </c>
      <c r="G165" s="363">
        <v>434.71456872214316</v>
      </c>
      <c r="H165" s="363">
        <v>440.2988196668659</v>
      </c>
      <c r="I165" s="367">
        <v>447.40254720674574</v>
      </c>
      <c r="J165" s="368">
        <v>453.6187111547798</v>
      </c>
      <c r="K165" s="368">
        <v>457.59046749193715</v>
      </c>
      <c r="L165" s="368">
        <v>458.03454952915155</v>
      </c>
      <c r="M165" s="368">
        <v>455.6846781968021</v>
      </c>
      <c r="N165" s="368">
        <v>452.73683361541924</v>
      </c>
      <c r="O165" s="368">
        <v>449.927700387295</v>
      </c>
      <c r="P165" s="368">
        <v>445.8784532557643</v>
      </c>
      <c r="Q165" s="369">
        <v>440.52184776975986</v>
      </c>
    </row>
    <row r="166" spans="1:17" ht="15">
      <c r="A166" s="57">
        <v>22</v>
      </c>
      <c r="B166" s="363">
        <v>463</v>
      </c>
      <c r="C166" s="363">
        <v>455</v>
      </c>
      <c r="D166" s="363">
        <v>446</v>
      </c>
      <c r="E166" s="363">
        <v>441</v>
      </c>
      <c r="F166" s="363">
        <v>434</v>
      </c>
      <c r="G166" s="363">
        <v>432.0919523277358</v>
      </c>
      <c r="H166" s="363">
        <v>434.41257947027464</v>
      </c>
      <c r="I166" s="367">
        <v>439.99933599668987</v>
      </c>
      <c r="J166" s="368">
        <v>447.1045365167107</v>
      </c>
      <c r="K166" s="368">
        <v>453.32278602940704</v>
      </c>
      <c r="L166" s="368">
        <v>457.29806766160834</v>
      </c>
      <c r="M166" s="368">
        <v>457.74782741058823</v>
      </c>
      <c r="N166" s="368">
        <v>455.4052017438167</v>
      </c>
      <c r="O166" s="368">
        <v>452.4647510606299</v>
      </c>
      <c r="P166" s="368">
        <v>449.6627107777079</v>
      </c>
      <c r="Q166" s="369">
        <v>445.6210632364314</v>
      </c>
    </row>
    <row r="167" spans="1:17" ht="15">
      <c r="A167" s="57">
        <v>23</v>
      </c>
      <c r="B167" s="363">
        <v>475</v>
      </c>
      <c r="C167" s="363">
        <v>463</v>
      </c>
      <c r="D167" s="363">
        <v>454</v>
      </c>
      <c r="E167" s="363">
        <v>446</v>
      </c>
      <c r="F167" s="363">
        <v>440</v>
      </c>
      <c r="G167" s="363">
        <v>434.0934445421311</v>
      </c>
      <c r="H167" s="363">
        <v>431.75616275604955</v>
      </c>
      <c r="I167" s="367">
        <v>434.08202069691527</v>
      </c>
      <c r="J167" s="368">
        <v>439.6714497172218</v>
      </c>
      <c r="K167" s="368">
        <v>446.7782078578789</v>
      </c>
      <c r="L167" s="368">
        <v>452.9986848233656</v>
      </c>
      <c r="M167" s="368">
        <v>456.9777703991735</v>
      </c>
      <c r="N167" s="368">
        <v>457.4336925026658</v>
      </c>
      <c r="O167" s="368">
        <v>455.0989486867991</v>
      </c>
      <c r="P167" s="368">
        <v>452.16654452037824</v>
      </c>
      <c r="Q167" s="369">
        <v>449.37222333367083</v>
      </c>
    </row>
    <row r="168" spans="1:17" ht="15">
      <c r="A168" s="57">
        <v>24</v>
      </c>
      <c r="B168" s="363">
        <v>489</v>
      </c>
      <c r="C168" s="363">
        <v>475</v>
      </c>
      <c r="D168" s="363">
        <v>463</v>
      </c>
      <c r="E168" s="363">
        <v>454</v>
      </c>
      <c r="F168" s="363">
        <v>446</v>
      </c>
      <c r="G168" s="363">
        <v>439.8300211904023</v>
      </c>
      <c r="H168" s="363">
        <v>433.70670538068276</v>
      </c>
      <c r="I168" s="367">
        <v>431.3795045532427</v>
      </c>
      <c r="J168" s="368">
        <v>433.7111482649472</v>
      </c>
      <c r="K168" s="368">
        <v>439.30351127103035</v>
      </c>
      <c r="L168" s="368">
        <v>446.4119513360113</v>
      </c>
      <c r="M168" s="368">
        <v>452.6348611981063</v>
      </c>
      <c r="N168" s="368">
        <v>456.6181492957339</v>
      </c>
      <c r="O168" s="368">
        <v>457.080922900659</v>
      </c>
      <c r="P168" s="368">
        <v>454.7549637245387</v>
      </c>
      <c r="Q168" s="369">
        <v>451.8315319833497</v>
      </c>
    </row>
    <row r="169" spans="1:17" ht="15">
      <c r="A169" s="57">
        <v>25</v>
      </c>
      <c r="B169" s="363">
        <v>505</v>
      </c>
      <c r="C169" s="363">
        <v>489</v>
      </c>
      <c r="D169" s="363">
        <v>475</v>
      </c>
      <c r="E169" s="363">
        <v>463</v>
      </c>
      <c r="F169" s="363">
        <v>454</v>
      </c>
      <c r="G169" s="363">
        <v>446.1639881990883</v>
      </c>
      <c r="H169" s="363">
        <v>439.3814298669066</v>
      </c>
      <c r="I169" s="367">
        <v>433.27353686802104</v>
      </c>
      <c r="J169" s="368">
        <v>430.95753105275594</v>
      </c>
      <c r="K169" s="368">
        <v>433.29558056179025</v>
      </c>
      <c r="L169" s="368">
        <v>438.89115362018094</v>
      </c>
      <c r="M169" s="368">
        <v>446.0013997056025</v>
      </c>
      <c r="N169" s="368">
        <v>452.22695675613414</v>
      </c>
      <c r="O169" s="368">
        <v>456.2148762886487</v>
      </c>
      <c r="P169" s="368">
        <v>456.6852533352902</v>
      </c>
      <c r="Q169" s="369">
        <v>454.369068627857</v>
      </c>
    </row>
    <row r="170" spans="1:17" ht="15">
      <c r="A170" s="57">
        <v>26</v>
      </c>
      <c r="B170" s="363">
        <v>522</v>
      </c>
      <c r="C170" s="363">
        <v>505</v>
      </c>
      <c r="D170" s="363">
        <v>489</v>
      </c>
      <c r="E170" s="363">
        <v>474</v>
      </c>
      <c r="F170" s="363">
        <v>462</v>
      </c>
      <c r="G170" s="363">
        <v>452.64579290866715</v>
      </c>
      <c r="H170" s="363">
        <v>445.6528736182013</v>
      </c>
      <c r="I170" s="367">
        <v>438.88850242940333</v>
      </c>
      <c r="J170" s="368">
        <v>432.7974442120456</v>
      </c>
      <c r="K170" s="368">
        <v>430.4936541279466</v>
      </c>
      <c r="L170" s="368">
        <v>432.8386559755503</v>
      </c>
      <c r="M170" s="368">
        <v>438.4376676897994</v>
      </c>
      <c r="N170" s="368">
        <v>445.54980779283085</v>
      </c>
      <c r="O170" s="368">
        <v>451.77818373104907</v>
      </c>
      <c r="P170" s="368">
        <v>455.7711057604994</v>
      </c>
      <c r="Q170" s="369">
        <v>456.24975776041015</v>
      </c>
    </row>
    <row r="171" spans="1:17" ht="15">
      <c r="A171" s="57">
        <v>27</v>
      </c>
      <c r="B171" s="363">
        <v>532</v>
      </c>
      <c r="C171" s="363">
        <v>521</v>
      </c>
      <c r="D171" s="363">
        <v>504</v>
      </c>
      <c r="E171" s="363">
        <v>489</v>
      </c>
      <c r="F171" s="363">
        <v>474</v>
      </c>
      <c r="G171" s="363">
        <v>461.829371993203</v>
      </c>
      <c r="H171" s="363">
        <v>452.07796392346296</v>
      </c>
      <c r="I171" s="367">
        <v>445.1053563575468</v>
      </c>
      <c r="J171" s="368">
        <v>438.36033921860303</v>
      </c>
      <c r="K171" s="368">
        <v>432.28721796172204</v>
      </c>
      <c r="L171" s="368">
        <v>429.99641831736955</v>
      </c>
      <c r="M171" s="368">
        <v>432.3487707588922</v>
      </c>
      <c r="N171" s="368">
        <v>437.95136643922956</v>
      </c>
      <c r="O171" s="368">
        <v>445.06543381780205</v>
      </c>
      <c r="P171" s="368">
        <v>451.2967289355326</v>
      </c>
      <c r="Q171" s="369">
        <v>455.2949136942841</v>
      </c>
    </row>
    <row r="172" spans="1:17" ht="15">
      <c r="A172" s="57">
        <v>28</v>
      </c>
      <c r="B172" s="363">
        <v>538</v>
      </c>
      <c r="C172" s="363">
        <v>532</v>
      </c>
      <c r="D172" s="363">
        <v>521</v>
      </c>
      <c r="E172" s="363">
        <v>504</v>
      </c>
      <c r="F172" s="363">
        <v>489</v>
      </c>
      <c r="G172" s="363">
        <v>474.0988292081372</v>
      </c>
      <c r="H172" s="363">
        <v>461.2110761583412</v>
      </c>
      <c r="I172" s="367">
        <v>451.4851808823945</v>
      </c>
      <c r="J172" s="368">
        <v>444.53363548042614</v>
      </c>
      <c r="K172" s="368">
        <v>437.8087154129724</v>
      </c>
      <c r="L172" s="368">
        <v>431.75421649409276</v>
      </c>
      <c r="M172" s="368">
        <v>429.4768763809403</v>
      </c>
      <c r="N172" s="368">
        <v>431.83679815836666</v>
      </c>
      <c r="O172" s="368">
        <v>437.4430276525944</v>
      </c>
      <c r="P172" s="368">
        <v>444.5589971087712</v>
      </c>
      <c r="Q172" s="369">
        <v>450.7932315760367</v>
      </c>
    </row>
    <row r="173" spans="1:17" ht="15">
      <c r="A173" s="57">
        <v>29</v>
      </c>
      <c r="B173" s="363">
        <v>542</v>
      </c>
      <c r="C173" s="363">
        <v>538</v>
      </c>
      <c r="D173" s="363">
        <v>532</v>
      </c>
      <c r="E173" s="363">
        <v>519.614</v>
      </c>
      <c r="F173" s="363">
        <v>504</v>
      </c>
      <c r="G173" s="363">
        <v>488.3602062520462</v>
      </c>
      <c r="H173" s="363">
        <v>473.4363096588684</v>
      </c>
      <c r="I173" s="367">
        <v>460.57979407070223</v>
      </c>
      <c r="J173" s="368">
        <v>450.87979451713693</v>
      </c>
      <c r="K173" s="368">
        <v>443.9496375999806</v>
      </c>
      <c r="L173" s="368">
        <v>437.24512617148196</v>
      </c>
      <c r="M173" s="368">
        <v>431.2095352666453</v>
      </c>
      <c r="N173" s="368">
        <v>428.94583241849324</v>
      </c>
      <c r="O173" s="368">
        <v>431.3133740330542</v>
      </c>
      <c r="P173" s="368">
        <v>436.9232011241755</v>
      </c>
      <c r="Q173" s="369">
        <v>444.0409976362571</v>
      </c>
    </row>
    <row r="174" spans="1:17" ht="15">
      <c r="A174" s="57">
        <v>30</v>
      </c>
      <c r="B174" s="363">
        <v>541</v>
      </c>
      <c r="C174" s="363">
        <v>542</v>
      </c>
      <c r="D174" s="363">
        <v>537</v>
      </c>
      <c r="E174" s="363">
        <v>532</v>
      </c>
      <c r="F174" s="363">
        <v>520</v>
      </c>
      <c r="G174" s="363">
        <v>504.2344932398561</v>
      </c>
      <c r="H174" s="363">
        <v>487.6557184777526</v>
      </c>
      <c r="I174" s="367">
        <v>472.7673264114716</v>
      </c>
      <c r="J174" s="368">
        <v>459.94219032441896</v>
      </c>
      <c r="K174" s="368">
        <v>450.2682169343751</v>
      </c>
      <c r="L174" s="368">
        <v>443.35954002980344</v>
      </c>
      <c r="M174" s="368">
        <v>436.67552522707064</v>
      </c>
      <c r="N174" s="368">
        <v>430.6589210692217</v>
      </c>
      <c r="O174" s="368">
        <v>428.4088825561089</v>
      </c>
      <c r="P174" s="368">
        <v>430.78400776021874</v>
      </c>
      <c r="Q174" s="369">
        <v>436.3973521835907</v>
      </c>
    </row>
    <row r="175" spans="1:17" ht="15">
      <c r="A175" s="57">
        <v>31</v>
      </c>
      <c r="B175" s="363">
        <v>544</v>
      </c>
      <c r="C175" s="363">
        <v>540</v>
      </c>
      <c r="D175" s="363">
        <v>542</v>
      </c>
      <c r="E175" s="363">
        <v>537</v>
      </c>
      <c r="F175" s="363">
        <v>531</v>
      </c>
      <c r="G175" s="363">
        <v>519.217669469017</v>
      </c>
      <c r="H175" s="363">
        <v>503.4848751316004</v>
      </c>
      <c r="I175" s="367">
        <v>486.9455392008532</v>
      </c>
      <c r="J175" s="368">
        <v>472.09276509631513</v>
      </c>
      <c r="K175" s="368">
        <v>459.29913338372205</v>
      </c>
      <c r="L175" s="368">
        <v>449.6512745663583</v>
      </c>
      <c r="M175" s="368">
        <v>442.7641341284653</v>
      </c>
      <c r="N175" s="368">
        <v>436.1006709006264</v>
      </c>
      <c r="O175" s="368">
        <v>430.10310185037537</v>
      </c>
      <c r="P175" s="368">
        <v>427.8667319648041</v>
      </c>
      <c r="Q175" s="369">
        <v>430.249390149796</v>
      </c>
    </row>
    <row r="176" spans="1:17" ht="15">
      <c r="A176" s="57">
        <v>32</v>
      </c>
      <c r="B176" s="363">
        <v>545</v>
      </c>
      <c r="C176" s="363">
        <v>543</v>
      </c>
      <c r="D176" s="363">
        <v>540</v>
      </c>
      <c r="E176" s="363">
        <v>541.612</v>
      </c>
      <c r="F176" s="363">
        <v>536</v>
      </c>
      <c r="G176" s="363">
        <v>530.5022305627983</v>
      </c>
      <c r="H176" s="363">
        <v>518.4243688825923</v>
      </c>
      <c r="I176" s="367">
        <v>502.73126187527515</v>
      </c>
      <c r="J176" s="368">
        <v>486.2313903203149</v>
      </c>
      <c r="K176" s="368">
        <v>471.4142878766706</v>
      </c>
      <c r="L176" s="368">
        <v>458.65220171293095</v>
      </c>
      <c r="M176" s="368">
        <v>449.03047628348776</v>
      </c>
      <c r="N176" s="368">
        <v>442.16487110485394</v>
      </c>
      <c r="O176" s="368">
        <v>435.521959784415</v>
      </c>
      <c r="P176" s="368">
        <v>429.54342385412605</v>
      </c>
      <c r="Q176" s="369">
        <v>427.320690035753</v>
      </c>
    </row>
    <row r="177" spans="1:17" ht="15">
      <c r="A177" s="57">
        <v>33</v>
      </c>
      <c r="B177" s="363">
        <v>556</v>
      </c>
      <c r="C177" s="363">
        <v>544</v>
      </c>
      <c r="D177" s="363">
        <v>542.37</v>
      </c>
      <c r="E177" s="363">
        <v>539</v>
      </c>
      <c r="F177" s="363">
        <v>540</v>
      </c>
      <c r="G177" s="363">
        <v>536.4510023466436</v>
      </c>
      <c r="H177" s="363">
        <v>529.6738368636152</v>
      </c>
      <c r="I177" s="367">
        <v>517.6312554092099</v>
      </c>
      <c r="J177" s="368">
        <v>501.9776305081849</v>
      </c>
      <c r="K177" s="368">
        <v>485.51707017953197</v>
      </c>
      <c r="L177" s="368">
        <v>470.7354983132</v>
      </c>
      <c r="M177" s="368">
        <v>458.0048268750452</v>
      </c>
      <c r="N177" s="368">
        <v>448.409111098573</v>
      </c>
      <c r="O177" s="368">
        <v>441.5649224024753</v>
      </c>
      <c r="P177" s="368">
        <v>434.9424514951927</v>
      </c>
      <c r="Q177" s="369">
        <v>428.9828433813462</v>
      </c>
    </row>
    <row r="178" spans="1:17" ht="15">
      <c r="A178" s="57">
        <v>34</v>
      </c>
      <c r="B178" s="363">
        <v>564</v>
      </c>
      <c r="C178" s="363">
        <v>554</v>
      </c>
      <c r="D178" s="363">
        <v>544</v>
      </c>
      <c r="E178" s="363">
        <v>540</v>
      </c>
      <c r="F178" s="363">
        <v>538</v>
      </c>
      <c r="G178" s="363">
        <v>538.5025664473708</v>
      </c>
      <c r="H178" s="363">
        <v>535.5980777370331</v>
      </c>
      <c r="I178" s="367">
        <v>528.8487192575171</v>
      </c>
      <c r="J178" s="368">
        <v>516.8410723745342</v>
      </c>
      <c r="K178" s="368">
        <v>501.2266208796846</v>
      </c>
      <c r="L178" s="368">
        <v>484.8050773277195</v>
      </c>
      <c r="M178" s="368">
        <v>470.0587676696777</v>
      </c>
      <c r="N178" s="368">
        <v>457.35926790122795</v>
      </c>
      <c r="O178" s="368">
        <v>447.78934523843</v>
      </c>
      <c r="P178" s="368">
        <v>440.96637793029856</v>
      </c>
      <c r="Q178" s="369">
        <v>434.36416342992914</v>
      </c>
    </row>
    <row r="179" spans="1:17" ht="15">
      <c r="A179" s="57">
        <v>35</v>
      </c>
      <c r="B179" s="363">
        <v>572</v>
      </c>
      <c r="C179" s="363">
        <v>563</v>
      </c>
      <c r="D179" s="363">
        <v>553</v>
      </c>
      <c r="E179" s="363">
        <v>543</v>
      </c>
      <c r="F179" s="363">
        <v>540</v>
      </c>
      <c r="G179" s="363">
        <v>538.3588340329509</v>
      </c>
      <c r="H179" s="363">
        <v>537.6328639105839</v>
      </c>
      <c r="I179" s="367">
        <v>534.7505090808304</v>
      </c>
      <c r="J179" s="368">
        <v>528.0285684845808</v>
      </c>
      <c r="K179" s="368">
        <v>516.0554749489353</v>
      </c>
      <c r="L179" s="368">
        <v>500.4798035666591</v>
      </c>
      <c r="M179" s="368">
        <v>484.0968987915563</v>
      </c>
      <c r="N179" s="368">
        <v>469.3855078773664</v>
      </c>
      <c r="O179" s="368">
        <v>456.71687067473255</v>
      </c>
      <c r="P179" s="368">
        <v>447.17247017726464</v>
      </c>
      <c r="Q179" s="369">
        <v>440.3704846337745</v>
      </c>
    </row>
    <row r="180" spans="1:17" ht="15">
      <c r="A180" s="57">
        <v>36</v>
      </c>
      <c r="B180" s="363">
        <v>579</v>
      </c>
      <c r="C180" s="363">
        <v>572</v>
      </c>
      <c r="D180" s="363">
        <v>562</v>
      </c>
      <c r="E180" s="363">
        <v>552</v>
      </c>
      <c r="F180" s="363">
        <v>543</v>
      </c>
      <c r="G180" s="363">
        <v>539.0306782167663</v>
      </c>
      <c r="H180" s="363">
        <v>537.4757098679021</v>
      </c>
      <c r="I180" s="367">
        <v>536.7686631883801</v>
      </c>
      <c r="J180" s="368">
        <v>533.9080813173414</v>
      </c>
      <c r="K180" s="368">
        <v>527.2132142580435</v>
      </c>
      <c r="L180" s="368">
        <v>515.2742978119007</v>
      </c>
      <c r="M180" s="368">
        <v>499.73701978878347</v>
      </c>
      <c r="N180" s="368">
        <v>483.3923829005802</v>
      </c>
      <c r="O180" s="368">
        <v>468.71557408253574</v>
      </c>
      <c r="P180" s="368">
        <v>456.07749670029415</v>
      </c>
      <c r="Q180" s="369">
        <v>446.5583529668089</v>
      </c>
    </row>
    <row r="181" spans="1:17" ht="15">
      <c r="A181" s="57">
        <v>37</v>
      </c>
      <c r="B181" s="363">
        <v>584</v>
      </c>
      <c r="C181" s="363">
        <v>579</v>
      </c>
      <c r="D181" s="363">
        <v>572</v>
      </c>
      <c r="E181" s="363">
        <v>561</v>
      </c>
      <c r="F181" s="363">
        <v>551</v>
      </c>
      <c r="G181" s="363">
        <v>542.3445545728192</v>
      </c>
      <c r="H181" s="363">
        <v>538.127890571373</v>
      </c>
      <c r="I181" s="367">
        <v>536.5935734408141</v>
      </c>
      <c r="J181" s="368">
        <v>535.905201803134</v>
      </c>
      <c r="K181" s="368">
        <v>533.0661895352404</v>
      </c>
      <c r="L181" s="368">
        <v>526.3981962319374</v>
      </c>
      <c r="M181" s="368">
        <v>514.4932647796838</v>
      </c>
      <c r="N181" s="368">
        <v>498.99420130062526</v>
      </c>
      <c r="O181" s="368">
        <v>482.687669283392</v>
      </c>
      <c r="P181" s="368">
        <v>468.04529412314196</v>
      </c>
      <c r="Q181" s="369">
        <v>455.43764042014595</v>
      </c>
    </row>
    <row r="182" spans="1:17" ht="15">
      <c r="A182" s="57">
        <v>38</v>
      </c>
      <c r="B182" s="363">
        <v>581</v>
      </c>
      <c r="C182" s="363">
        <v>584</v>
      </c>
      <c r="D182" s="363">
        <v>579</v>
      </c>
      <c r="E182" s="363">
        <v>571</v>
      </c>
      <c r="F182" s="363">
        <v>560</v>
      </c>
      <c r="G182" s="363">
        <v>549.7669033450665</v>
      </c>
      <c r="H182" s="363">
        <v>541.407819745003</v>
      </c>
      <c r="I182" s="367">
        <v>537.2170178204982</v>
      </c>
      <c r="J182" s="368">
        <v>535.7033011271483</v>
      </c>
      <c r="K182" s="368">
        <v>535.0335840189308</v>
      </c>
      <c r="L182" s="368">
        <v>532.2161532688228</v>
      </c>
      <c r="M182" s="368">
        <v>525.5751047458622</v>
      </c>
      <c r="N182" s="368">
        <v>513.7043112558825</v>
      </c>
      <c r="O182" s="368">
        <v>498.24367313893174</v>
      </c>
      <c r="P182" s="368">
        <v>481.9754723299738</v>
      </c>
      <c r="Q182" s="369">
        <v>467.3677345489999</v>
      </c>
    </row>
    <row r="183" spans="1:17" ht="15">
      <c r="A183" s="57">
        <v>39</v>
      </c>
      <c r="B183" s="363">
        <v>570</v>
      </c>
      <c r="C183" s="363">
        <v>581</v>
      </c>
      <c r="D183" s="363">
        <v>583</v>
      </c>
      <c r="E183" s="363">
        <v>578</v>
      </c>
      <c r="F183" s="363">
        <v>571</v>
      </c>
      <c r="G183" s="363">
        <v>559.6064718668584</v>
      </c>
      <c r="H183" s="363">
        <v>548.7772611762888</v>
      </c>
      <c r="I183" s="367">
        <v>540.4526482294063</v>
      </c>
      <c r="J183" s="368">
        <v>536.2879690537239</v>
      </c>
      <c r="K183" s="368">
        <v>534.7950606280629</v>
      </c>
      <c r="L183" s="368">
        <v>534.144171516667</v>
      </c>
      <c r="M183" s="368">
        <v>531.348561492201</v>
      </c>
      <c r="N183" s="368">
        <v>524.7348164683095</v>
      </c>
      <c r="O183" s="368">
        <v>512.8986824759218</v>
      </c>
      <c r="P183" s="368">
        <v>497.4770979155603</v>
      </c>
      <c r="Q183" s="369">
        <v>481.2478722106792</v>
      </c>
    </row>
    <row r="184" spans="1:17" ht="15">
      <c r="A184" s="57">
        <v>40</v>
      </c>
      <c r="B184" s="363">
        <v>562</v>
      </c>
      <c r="C184" s="363">
        <v>570</v>
      </c>
      <c r="D184" s="363">
        <v>580</v>
      </c>
      <c r="E184" s="363">
        <v>582</v>
      </c>
      <c r="F184" s="363">
        <v>578</v>
      </c>
      <c r="G184" s="363">
        <v>569.7160957693079</v>
      </c>
      <c r="H184" s="363">
        <v>558.5497798696554</v>
      </c>
      <c r="I184" s="367">
        <v>547.7616066218767</v>
      </c>
      <c r="J184" s="368">
        <v>539.4721049505882</v>
      </c>
      <c r="K184" s="368">
        <v>535.3340256148473</v>
      </c>
      <c r="L184" s="368">
        <v>533.8622668798333</v>
      </c>
      <c r="M184" s="368">
        <v>533.230499551788</v>
      </c>
      <c r="N184" s="368">
        <v>530.4570926165866</v>
      </c>
      <c r="O184" s="368">
        <v>523.8711941263994</v>
      </c>
      <c r="P184" s="368">
        <v>512.0704806110805</v>
      </c>
      <c r="Q184" s="369">
        <v>496.6888509744525</v>
      </c>
    </row>
    <row r="185" spans="1:17" ht="15">
      <c r="A185" s="57">
        <v>41</v>
      </c>
      <c r="B185" s="363">
        <v>551</v>
      </c>
      <c r="C185" s="363">
        <v>561</v>
      </c>
      <c r="D185" s="363">
        <v>569</v>
      </c>
      <c r="E185" s="363">
        <v>579</v>
      </c>
      <c r="F185" s="363">
        <v>581</v>
      </c>
      <c r="G185" s="363">
        <v>576.9346755836008</v>
      </c>
      <c r="H185" s="363">
        <v>568.5848435731377</v>
      </c>
      <c r="I185" s="367">
        <v>557.4626666856586</v>
      </c>
      <c r="J185" s="368">
        <v>546.7164251667821</v>
      </c>
      <c r="K185" s="368">
        <v>538.4628219701867</v>
      </c>
      <c r="L185" s="368">
        <v>534.3518905061457</v>
      </c>
      <c r="M185" s="368">
        <v>532.9016763417118</v>
      </c>
      <c r="N185" s="368">
        <v>532.2893721710514</v>
      </c>
      <c r="O185" s="368">
        <v>529.538610243111</v>
      </c>
      <c r="P185" s="368">
        <v>522.9811820761503</v>
      </c>
      <c r="Q185" s="369">
        <v>511.21675915016465</v>
      </c>
    </row>
    <row r="186" spans="1:17" ht="15">
      <c r="A186" s="57">
        <v>42</v>
      </c>
      <c r="B186" s="363">
        <v>537</v>
      </c>
      <c r="C186" s="363">
        <v>550</v>
      </c>
      <c r="D186" s="363">
        <v>560</v>
      </c>
      <c r="E186" s="363">
        <v>569</v>
      </c>
      <c r="F186" s="363">
        <v>578</v>
      </c>
      <c r="G186" s="363">
        <v>579.5095218760148</v>
      </c>
      <c r="H186" s="363">
        <v>575.7264002453503</v>
      </c>
      <c r="I186" s="367">
        <v>567.4175635225995</v>
      </c>
      <c r="J186" s="368">
        <v>556.340617989655</v>
      </c>
      <c r="K186" s="368">
        <v>545.6374009931974</v>
      </c>
      <c r="L186" s="368">
        <v>537.420608056951</v>
      </c>
      <c r="M186" s="368">
        <v>533.3374625467973</v>
      </c>
      <c r="N186" s="368">
        <v>531.9092559416983</v>
      </c>
      <c r="O186" s="368">
        <v>531.3168169416082</v>
      </c>
      <c r="P186" s="368">
        <v>528.5892172881443</v>
      </c>
      <c r="Q186" s="369">
        <v>522.0609847583112</v>
      </c>
    </row>
    <row r="187" spans="1:17" ht="15">
      <c r="A187" s="57">
        <v>43</v>
      </c>
      <c r="B187" s="363">
        <v>528</v>
      </c>
      <c r="C187" s="363">
        <v>536</v>
      </c>
      <c r="D187" s="363">
        <v>550</v>
      </c>
      <c r="E187" s="363">
        <v>560</v>
      </c>
      <c r="F187" s="363">
        <v>568</v>
      </c>
      <c r="G187" s="363">
        <v>575.8376197943461</v>
      </c>
      <c r="H187" s="363">
        <v>578.2235837727628</v>
      </c>
      <c r="I187" s="367">
        <v>574.4739925579577</v>
      </c>
      <c r="J187" s="368">
        <v>566.2073043277416</v>
      </c>
      <c r="K187" s="368">
        <v>555.1769748490756</v>
      </c>
      <c r="L187" s="368">
        <v>544.5181024351523</v>
      </c>
      <c r="M187" s="368">
        <v>536.339224161629</v>
      </c>
      <c r="N187" s="368">
        <v>532.2846432675561</v>
      </c>
      <c r="O187" s="368">
        <v>530.8790146506391</v>
      </c>
      <c r="P187" s="368">
        <v>530.3069387307634</v>
      </c>
      <c r="Q187" s="369">
        <v>527.6031359066217</v>
      </c>
    </row>
    <row r="188" spans="1:17" ht="15">
      <c r="A188" s="57">
        <v>44</v>
      </c>
      <c r="B188" s="363">
        <v>512</v>
      </c>
      <c r="C188" s="363">
        <v>527</v>
      </c>
      <c r="D188" s="363">
        <v>536</v>
      </c>
      <c r="E188" s="363">
        <v>549</v>
      </c>
      <c r="F188" s="363">
        <v>559</v>
      </c>
      <c r="G188" s="363">
        <v>567.2141244133342</v>
      </c>
      <c r="H188" s="363">
        <v>574.4778407286008</v>
      </c>
      <c r="I188" s="367">
        <v>576.8849402514755</v>
      </c>
      <c r="J188" s="368">
        <v>573.1698753804679</v>
      </c>
      <c r="K188" s="368">
        <v>564.946764395032</v>
      </c>
      <c r="L188" s="368">
        <v>553.9646829144634</v>
      </c>
      <c r="M188" s="368">
        <v>543.3517115743573</v>
      </c>
      <c r="N188" s="368">
        <v>535.2120523279207</v>
      </c>
      <c r="O188" s="368">
        <v>531.1869596875758</v>
      </c>
      <c r="P188" s="368">
        <v>529.804589447132</v>
      </c>
      <c r="Q188" s="369">
        <v>529.2534723504541</v>
      </c>
    </row>
    <row r="189" spans="1:17" ht="15">
      <c r="A189" s="57">
        <v>45</v>
      </c>
      <c r="B189" s="363">
        <v>498</v>
      </c>
      <c r="C189" s="363">
        <v>512</v>
      </c>
      <c r="D189" s="363">
        <v>525</v>
      </c>
      <c r="E189" s="363">
        <v>535</v>
      </c>
      <c r="F189" s="363">
        <v>547</v>
      </c>
      <c r="G189" s="363">
        <v>556.5654423912031</v>
      </c>
      <c r="H189" s="363">
        <v>565.7834639864759</v>
      </c>
      <c r="I189" s="367">
        <v>573.0571626441348</v>
      </c>
      <c r="J189" s="368">
        <v>575.4859293448783</v>
      </c>
      <c r="K189" s="368">
        <v>571.8066019800197</v>
      </c>
      <c r="L189" s="368">
        <v>563.628705026482</v>
      </c>
      <c r="M189" s="368">
        <v>552.696741607127</v>
      </c>
      <c r="N189" s="368">
        <v>542.1314557362844</v>
      </c>
      <c r="O189" s="368">
        <v>534.0325120290514</v>
      </c>
      <c r="P189" s="368">
        <v>530.0379691349717</v>
      </c>
      <c r="Q189" s="369">
        <v>528.6796409587312</v>
      </c>
    </row>
    <row r="190" spans="1:17" ht="15">
      <c r="A190" s="57">
        <v>46</v>
      </c>
      <c r="B190" s="363">
        <v>483</v>
      </c>
      <c r="C190" s="363">
        <v>497</v>
      </c>
      <c r="D190" s="363">
        <v>510</v>
      </c>
      <c r="E190" s="363">
        <v>524</v>
      </c>
      <c r="F190" s="363">
        <v>534</v>
      </c>
      <c r="G190" s="363">
        <v>545.5924757511071</v>
      </c>
      <c r="H190" s="363">
        <v>555.0613272155164</v>
      </c>
      <c r="I190" s="367">
        <v>564.2841882564617</v>
      </c>
      <c r="J190" s="368">
        <v>571.5678955510944</v>
      </c>
      <c r="K190" s="368">
        <v>574.0189926252998</v>
      </c>
      <c r="L190" s="368">
        <v>570.3767587875107</v>
      </c>
      <c r="M190" s="368">
        <v>562.245912194823</v>
      </c>
      <c r="N190" s="368">
        <v>551.3661669500136</v>
      </c>
      <c r="O190" s="368">
        <v>540.8505713489709</v>
      </c>
      <c r="P190" s="368">
        <v>532.7940248862168</v>
      </c>
      <c r="Q190" s="369">
        <v>528.8312245517486</v>
      </c>
    </row>
    <row r="191" spans="1:17" ht="15">
      <c r="A191" s="57">
        <v>47</v>
      </c>
      <c r="B191" s="363">
        <v>468</v>
      </c>
      <c r="C191" s="363">
        <v>482</v>
      </c>
      <c r="D191" s="363">
        <v>496</v>
      </c>
      <c r="E191" s="363">
        <v>509</v>
      </c>
      <c r="F191" s="363">
        <v>523</v>
      </c>
      <c r="G191" s="363">
        <v>533.4457411920107</v>
      </c>
      <c r="H191" s="363">
        <v>544.0079360837155</v>
      </c>
      <c r="I191" s="367">
        <v>553.4805258371359</v>
      </c>
      <c r="J191" s="368">
        <v>562.7079815840159</v>
      </c>
      <c r="K191" s="368">
        <v>570.0017896417856</v>
      </c>
      <c r="L191" s="368">
        <v>572.4759476959892</v>
      </c>
      <c r="M191" s="368">
        <v>568.8723157278914</v>
      </c>
      <c r="N191" s="368">
        <v>560.7905676003968</v>
      </c>
      <c r="O191" s="368">
        <v>549.9653857582862</v>
      </c>
      <c r="P191" s="368">
        <v>539.5017201722835</v>
      </c>
      <c r="Q191" s="369">
        <v>531.4894496624494</v>
      </c>
    </row>
    <row r="192" spans="1:17" ht="15">
      <c r="A192" s="57">
        <v>48</v>
      </c>
      <c r="B192" s="363">
        <v>453</v>
      </c>
      <c r="C192" s="363">
        <v>466</v>
      </c>
      <c r="D192" s="363">
        <v>480</v>
      </c>
      <c r="E192" s="363">
        <v>495</v>
      </c>
      <c r="F192" s="363">
        <v>508</v>
      </c>
      <c r="G192" s="363">
        <v>520.5757868240834</v>
      </c>
      <c r="H192" s="363">
        <v>531.7760005978488</v>
      </c>
      <c r="I192" s="367">
        <v>542.3379894169434</v>
      </c>
      <c r="J192" s="368">
        <v>551.8139846305369</v>
      </c>
      <c r="K192" s="368">
        <v>561.0458221921946</v>
      </c>
      <c r="L192" s="368">
        <v>568.3498159433227</v>
      </c>
      <c r="M192" s="368">
        <v>570.8478347646712</v>
      </c>
      <c r="N192" s="368">
        <v>567.2844753096573</v>
      </c>
      <c r="O192" s="368">
        <v>559.254101411402</v>
      </c>
      <c r="P192" s="368">
        <v>548.4860926789854</v>
      </c>
      <c r="Q192" s="369">
        <v>538.0768504660922</v>
      </c>
    </row>
    <row r="193" spans="1:17" ht="15">
      <c r="A193" s="57">
        <v>49</v>
      </c>
      <c r="B193" s="363">
        <v>440</v>
      </c>
      <c r="C193" s="363">
        <v>452</v>
      </c>
      <c r="D193" s="363">
        <v>465</v>
      </c>
      <c r="E193" s="363">
        <v>479</v>
      </c>
      <c r="F193" s="363">
        <v>494</v>
      </c>
      <c r="G193" s="363">
        <v>507.0191289616408</v>
      </c>
      <c r="H193" s="363">
        <v>518.8151261264774</v>
      </c>
      <c r="I193" s="367">
        <v>530.0120025927121</v>
      </c>
      <c r="J193" s="368">
        <v>540.5731907707888</v>
      </c>
      <c r="K193" s="368">
        <v>550.0522778376624</v>
      </c>
      <c r="L193" s="368">
        <v>559.288234707558</v>
      </c>
      <c r="M193" s="368">
        <v>566.6024834852386</v>
      </c>
      <c r="N193" s="368">
        <v>569.1252276923701</v>
      </c>
      <c r="O193" s="368">
        <v>565.6039744847751</v>
      </c>
      <c r="P193" s="368">
        <v>557.6274829155285</v>
      </c>
      <c r="Q193" s="369">
        <v>546.9195286441098</v>
      </c>
    </row>
    <row r="194" spans="1:17" ht="15">
      <c r="A194" s="57">
        <v>50</v>
      </c>
      <c r="B194" s="363">
        <v>425</v>
      </c>
      <c r="C194" s="363">
        <v>439</v>
      </c>
      <c r="D194" s="363">
        <v>450</v>
      </c>
      <c r="E194" s="363">
        <v>463</v>
      </c>
      <c r="F194" s="363">
        <v>477</v>
      </c>
      <c r="G194" s="363">
        <v>492.0428048624862</v>
      </c>
      <c r="H194" s="363">
        <v>505.16256475728255</v>
      </c>
      <c r="I194" s="367">
        <v>516.9516786914991</v>
      </c>
      <c r="J194" s="368">
        <v>528.1443863221716</v>
      </c>
      <c r="K194" s="368">
        <v>538.7041689039673</v>
      </c>
      <c r="L194" s="368">
        <v>548.1859661917823</v>
      </c>
      <c r="M194" s="368">
        <v>557.4257179747888</v>
      </c>
      <c r="N194" s="368">
        <v>564.7502634391005</v>
      </c>
      <c r="O194" s="368">
        <v>567.2986509773831</v>
      </c>
      <c r="P194" s="368">
        <v>563.8214903218138</v>
      </c>
      <c r="Q194" s="369">
        <v>555.9016121098177</v>
      </c>
    </row>
    <row r="195" spans="1:17" ht="15">
      <c r="A195" s="57">
        <v>51</v>
      </c>
      <c r="B195" s="363">
        <v>411</v>
      </c>
      <c r="C195" s="363">
        <v>424</v>
      </c>
      <c r="D195" s="363">
        <v>439</v>
      </c>
      <c r="E195" s="363">
        <v>448</v>
      </c>
      <c r="F195" s="363">
        <v>462</v>
      </c>
      <c r="G195" s="363">
        <v>476.04259618061855</v>
      </c>
      <c r="H195" s="363">
        <v>490.08898073261486</v>
      </c>
      <c r="I195" s="367">
        <v>503.19478599947723</v>
      </c>
      <c r="J195" s="368">
        <v>514.975907964366</v>
      </c>
      <c r="K195" s="368">
        <v>526.1635810824677</v>
      </c>
      <c r="L195" s="368">
        <v>536.7212505027131</v>
      </c>
      <c r="M195" s="368">
        <v>546.2052954367504</v>
      </c>
      <c r="N195" s="368">
        <v>555.4484431776676</v>
      </c>
      <c r="O195" s="368">
        <v>562.7832879101395</v>
      </c>
      <c r="P195" s="368">
        <v>565.3582817386405</v>
      </c>
      <c r="Q195" s="369">
        <v>561.9273482331137</v>
      </c>
    </row>
    <row r="196" spans="1:17" ht="15">
      <c r="A196" s="57">
        <v>52</v>
      </c>
      <c r="B196" s="363">
        <v>394</v>
      </c>
      <c r="C196" s="363">
        <v>409</v>
      </c>
      <c r="D196" s="363">
        <v>423</v>
      </c>
      <c r="E196" s="363">
        <v>438</v>
      </c>
      <c r="F196" s="363">
        <v>446</v>
      </c>
      <c r="G196" s="363">
        <v>460.3349389385247</v>
      </c>
      <c r="H196" s="363">
        <v>473.98874525971104</v>
      </c>
      <c r="I196" s="367">
        <v>488.0145123360612</v>
      </c>
      <c r="J196" s="368">
        <v>501.10473826802775</v>
      </c>
      <c r="K196" s="368">
        <v>512.8766938848855</v>
      </c>
      <c r="L196" s="368">
        <v>524.0583306812739</v>
      </c>
      <c r="M196" s="368">
        <v>534.6130597703873</v>
      </c>
      <c r="N196" s="368">
        <v>544.0987956033835</v>
      </c>
      <c r="O196" s="368">
        <v>553.3448536196219</v>
      </c>
      <c r="P196" s="368">
        <v>560.6899551235491</v>
      </c>
      <c r="Q196" s="369">
        <v>563.2925719064734</v>
      </c>
    </row>
    <row r="197" spans="1:17" ht="15">
      <c r="A197" s="57">
        <v>53</v>
      </c>
      <c r="B197" s="363">
        <v>372</v>
      </c>
      <c r="C197" s="363">
        <v>393</v>
      </c>
      <c r="D197" s="363">
        <v>408</v>
      </c>
      <c r="E197" s="363">
        <v>422</v>
      </c>
      <c r="F197" s="363">
        <v>436.121</v>
      </c>
      <c r="G197" s="363">
        <v>445.4147675952521</v>
      </c>
      <c r="H197" s="363">
        <v>458.17186797388376</v>
      </c>
      <c r="I197" s="367">
        <v>471.80338634966756</v>
      </c>
      <c r="J197" s="368">
        <v>485.80637919521325</v>
      </c>
      <c r="K197" s="368">
        <v>498.87927248344715</v>
      </c>
      <c r="L197" s="368">
        <v>510.6407071540149</v>
      </c>
      <c r="M197" s="368">
        <v>521.8151449208727</v>
      </c>
      <c r="N197" s="368">
        <v>532.3659653619967</v>
      </c>
      <c r="O197" s="368">
        <v>541.8527245998566</v>
      </c>
      <c r="P197" s="368">
        <v>551.1011052946076</v>
      </c>
      <c r="Q197" s="369">
        <v>558.4563689498714</v>
      </c>
    </row>
    <row r="198" spans="1:17" ht="15">
      <c r="A198" s="57">
        <v>54</v>
      </c>
      <c r="B198" s="363">
        <v>348</v>
      </c>
      <c r="C198" s="363">
        <v>371</v>
      </c>
      <c r="D198" s="363">
        <v>392</v>
      </c>
      <c r="E198" s="363">
        <v>407</v>
      </c>
      <c r="F198" s="363">
        <v>420</v>
      </c>
      <c r="G198" s="363">
        <v>430.8427597447256</v>
      </c>
      <c r="H198" s="363">
        <v>443.1304701693149</v>
      </c>
      <c r="I198" s="367">
        <v>455.8660413945326</v>
      </c>
      <c r="J198" s="368">
        <v>469.4728826710202</v>
      </c>
      <c r="K198" s="368">
        <v>483.4507595394838</v>
      </c>
      <c r="L198" s="368">
        <v>496.504318770942</v>
      </c>
      <c r="M198" s="368">
        <v>508.25367147157147</v>
      </c>
      <c r="N198" s="368">
        <v>519.4195616502591</v>
      </c>
      <c r="O198" s="368">
        <v>529.9653403737871</v>
      </c>
      <c r="P198" s="368">
        <v>539.4523233654032</v>
      </c>
      <c r="Q198" s="369">
        <v>548.7023164848953</v>
      </c>
    </row>
    <row r="199" spans="1:17" ht="15">
      <c r="A199" s="57">
        <v>55</v>
      </c>
      <c r="B199" s="363">
        <v>325</v>
      </c>
      <c r="C199" s="363">
        <v>347</v>
      </c>
      <c r="D199" s="363">
        <v>370</v>
      </c>
      <c r="E199" s="363">
        <v>390</v>
      </c>
      <c r="F199" s="363">
        <v>405</v>
      </c>
      <c r="G199" s="363">
        <v>416.68391107403545</v>
      </c>
      <c r="H199" s="363">
        <v>428.42168317210945</v>
      </c>
      <c r="I199" s="367">
        <v>440.6865477856848</v>
      </c>
      <c r="J199" s="368">
        <v>453.3980710654714</v>
      </c>
      <c r="K199" s="368">
        <v>466.97757898807305</v>
      </c>
      <c r="L199" s="368">
        <v>480.92762475810804</v>
      </c>
      <c r="M199" s="368">
        <v>493.95952163254356</v>
      </c>
      <c r="N199" s="368">
        <v>505.6949649623309</v>
      </c>
      <c r="O199" s="368">
        <v>516.8507223639251</v>
      </c>
      <c r="P199" s="368">
        <v>527.3901200003756</v>
      </c>
      <c r="Q199" s="369">
        <v>536.8763674966999</v>
      </c>
    </row>
    <row r="200" spans="1:17" ht="15">
      <c r="A200" s="57">
        <v>56</v>
      </c>
      <c r="B200" s="363">
        <v>303</v>
      </c>
      <c r="C200" s="363">
        <v>323</v>
      </c>
      <c r="D200" s="363">
        <v>345</v>
      </c>
      <c r="E200" s="363">
        <v>368.47</v>
      </c>
      <c r="F200" s="363">
        <v>387</v>
      </c>
      <c r="G200" s="363">
        <v>401.5668589159073</v>
      </c>
      <c r="H200" s="363">
        <v>414.1106840991364</v>
      </c>
      <c r="I200" s="367">
        <v>425.824703174604</v>
      </c>
      <c r="J200" s="368">
        <v>438.06393549965725</v>
      </c>
      <c r="K200" s="368">
        <v>450.7486252594258</v>
      </c>
      <c r="L200" s="368">
        <v>464.2977431385682</v>
      </c>
      <c r="M200" s="368">
        <v>478.2168346247572</v>
      </c>
      <c r="N200" s="368">
        <v>491.2243789009873</v>
      </c>
      <c r="O200" s="368">
        <v>502.9437840417216</v>
      </c>
      <c r="P200" s="368">
        <v>514.0875518133859</v>
      </c>
      <c r="Q200" s="369">
        <v>524.6189878311275</v>
      </c>
    </row>
    <row r="201" spans="1:17" ht="15">
      <c r="A201" s="57">
        <v>57</v>
      </c>
      <c r="B201" s="363">
        <v>285</v>
      </c>
      <c r="C201" s="363">
        <v>300</v>
      </c>
      <c r="D201" s="363">
        <v>320</v>
      </c>
      <c r="E201" s="363">
        <v>344</v>
      </c>
      <c r="F201" s="363">
        <v>365</v>
      </c>
      <c r="G201" s="363">
        <v>383.8740609109315</v>
      </c>
      <c r="H201" s="363">
        <v>398.8578530738118</v>
      </c>
      <c r="I201" s="367">
        <v>411.3681140035327</v>
      </c>
      <c r="J201" s="368">
        <v>423.05557385468313</v>
      </c>
      <c r="K201" s="368">
        <v>435.2663358700455</v>
      </c>
      <c r="L201" s="368">
        <v>447.9212432229331</v>
      </c>
      <c r="M201" s="368">
        <v>461.43675204710377</v>
      </c>
      <c r="N201" s="368">
        <v>475.3216005386512</v>
      </c>
      <c r="O201" s="368">
        <v>488.30192532253295</v>
      </c>
      <c r="P201" s="368">
        <v>500.0029755331489</v>
      </c>
      <c r="Q201" s="369">
        <v>511.13270371658984</v>
      </c>
    </row>
    <row r="202" spans="1:17" ht="15">
      <c r="A202" s="57">
        <v>58</v>
      </c>
      <c r="B202" s="363">
        <v>266</v>
      </c>
      <c r="C202" s="363">
        <v>282</v>
      </c>
      <c r="D202" s="363">
        <v>298</v>
      </c>
      <c r="E202" s="363">
        <v>319</v>
      </c>
      <c r="F202" s="363">
        <v>342</v>
      </c>
      <c r="G202" s="363">
        <v>362.7898374584215</v>
      </c>
      <c r="H202" s="363">
        <v>381.0871415564016</v>
      </c>
      <c r="I202" s="367">
        <v>396.014638707472</v>
      </c>
      <c r="J202" s="368">
        <v>408.48832745767425</v>
      </c>
      <c r="K202" s="368">
        <v>420.1466619808724</v>
      </c>
      <c r="L202" s="368">
        <v>432.3262590381165</v>
      </c>
      <c r="M202" s="368">
        <v>444.9485905967778</v>
      </c>
      <c r="N202" s="368">
        <v>458.4274677292272</v>
      </c>
      <c r="O202" s="368">
        <v>472.2749846656558</v>
      </c>
      <c r="P202" s="368">
        <v>485.22534005040995</v>
      </c>
      <c r="Q202" s="369">
        <v>496.9057331414645</v>
      </c>
    </row>
    <row r="203" spans="1:17" ht="15">
      <c r="A203" s="57">
        <v>59</v>
      </c>
      <c r="B203" s="363">
        <v>256</v>
      </c>
      <c r="C203" s="363">
        <v>265</v>
      </c>
      <c r="D203" s="363">
        <v>280</v>
      </c>
      <c r="E203" s="363">
        <v>297</v>
      </c>
      <c r="F203" s="363">
        <v>317</v>
      </c>
      <c r="G203" s="363">
        <v>339.5396987481416</v>
      </c>
      <c r="H203" s="363">
        <v>359.99823582855527</v>
      </c>
      <c r="I203" s="367">
        <v>378.20743887957934</v>
      </c>
      <c r="J203" s="368">
        <v>393.07534800934945</v>
      </c>
      <c r="K203" s="368">
        <v>405.50991513687535</v>
      </c>
      <c r="L203" s="368">
        <v>417.1367930510085</v>
      </c>
      <c r="M203" s="368">
        <v>429.2827903255446</v>
      </c>
      <c r="N203" s="368">
        <v>441.8700289617083</v>
      </c>
      <c r="O203" s="368">
        <v>455.3095792029726</v>
      </c>
      <c r="P203" s="368">
        <v>469.1170099942969</v>
      </c>
      <c r="Q203" s="369">
        <v>482.03488104937986</v>
      </c>
    </row>
    <row r="204" spans="1:17" ht="15">
      <c r="A204" s="57">
        <v>60</v>
      </c>
      <c r="B204" s="363">
        <v>245</v>
      </c>
      <c r="C204" s="363">
        <v>255</v>
      </c>
      <c r="D204" s="363">
        <v>264</v>
      </c>
      <c r="E204" s="363">
        <v>278</v>
      </c>
      <c r="F204" s="363">
        <v>295</v>
      </c>
      <c r="G204" s="363">
        <v>315</v>
      </c>
      <c r="H204" s="363">
        <v>336.794430794214</v>
      </c>
      <c r="I204" s="367">
        <v>357.1393891126012</v>
      </c>
      <c r="J204" s="368">
        <v>375.2569069224092</v>
      </c>
      <c r="K204" s="368">
        <v>390.0623946479823</v>
      </c>
      <c r="L204" s="368">
        <v>402.4554674531019</v>
      </c>
      <c r="M204" s="368">
        <v>414.04867426783727</v>
      </c>
      <c r="N204" s="368">
        <v>426.15876834925535</v>
      </c>
      <c r="O204" s="368">
        <v>438.70853790280967</v>
      </c>
      <c r="P204" s="368">
        <v>452.10623678521523</v>
      </c>
      <c r="Q204" s="369">
        <v>465.87100120903267</v>
      </c>
    </row>
    <row r="205" spans="1:17" ht="15">
      <c r="A205" s="57">
        <v>61</v>
      </c>
      <c r="B205" s="363">
        <v>237</v>
      </c>
      <c r="C205" s="363">
        <v>243</v>
      </c>
      <c r="D205" s="363">
        <v>254</v>
      </c>
      <c r="E205" s="363">
        <v>262</v>
      </c>
      <c r="F205" s="363">
        <v>275</v>
      </c>
      <c r="G205" s="363">
        <v>292.64048240956885</v>
      </c>
      <c r="H205" s="363">
        <v>312.67420336185404</v>
      </c>
      <c r="I205" s="367">
        <v>333.97981890762446</v>
      </c>
      <c r="J205" s="368">
        <v>354.20684058830665</v>
      </c>
      <c r="K205" s="368">
        <v>372.2288974020497</v>
      </c>
      <c r="L205" s="368">
        <v>386.96887692540156</v>
      </c>
      <c r="M205" s="368">
        <v>399.31787436566486</v>
      </c>
      <c r="N205" s="368">
        <v>410.8750037036991</v>
      </c>
      <c r="O205" s="368">
        <v>422.94669249689395</v>
      </c>
      <c r="P205" s="368">
        <v>435.45641272841715</v>
      </c>
      <c r="Q205" s="369">
        <v>448.80951919666643</v>
      </c>
    </row>
    <row r="206" spans="1:17" ht="15">
      <c r="A206" s="57">
        <v>62</v>
      </c>
      <c r="B206" s="363">
        <v>225</v>
      </c>
      <c r="C206" s="363">
        <v>235</v>
      </c>
      <c r="D206" s="363">
        <v>242</v>
      </c>
      <c r="E206" s="363">
        <v>252</v>
      </c>
      <c r="F206" s="363">
        <v>260</v>
      </c>
      <c r="G206" s="363">
        <v>273.1760223938846</v>
      </c>
      <c r="H206" s="363">
        <v>289.9939233609683</v>
      </c>
      <c r="I206" s="367">
        <v>309.8958622582891</v>
      </c>
      <c r="J206" s="368">
        <v>331.0634361162091</v>
      </c>
      <c r="K206" s="368">
        <v>351.16679608717243</v>
      </c>
      <c r="L206" s="368">
        <v>369.0883792834878</v>
      </c>
      <c r="M206" s="368">
        <v>383.7588671703505</v>
      </c>
      <c r="N206" s="368">
        <v>396.0605565800709</v>
      </c>
      <c r="O206" s="368">
        <v>407.578641149085</v>
      </c>
      <c r="P206" s="368">
        <v>419.60883216493534</v>
      </c>
      <c r="Q206" s="369">
        <v>432.0753107573488</v>
      </c>
    </row>
    <row r="207" spans="1:17" ht="15">
      <c r="A207" s="57">
        <v>63</v>
      </c>
      <c r="B207" s="363">
        <v>215</v>
      </c>
      <c r="C207" s="363">
        <v>223</v>
      </c>
      <c r="D207" s="363">
        <v>234</v>
      </c>
      <c r="E207" s="363">
        <v>241</v>
      </c>
      <c r="F207" s="363">
        <v>250</v>
      </c>
      <c r="G207" s="363">
        <v>258.3127064689258</v>
      </c>
      <c r="H207" s="363">
        <v>270.5100008704487</v>
      </c>
      <c r="I207" s="367">
        <v>287.2126935636114</v>
      </c>
      <c r="J207" s="368">
        <v>306.9745658670665</v>
      </c>
      <c r="K207" s="368">
        <v>327.99546335208834</v>
      </c>
      <c r="L207" s="368">
        <v>347.96713248634916</v>
      </c>
      <c r="M207" s="368">
        <v>365.7813098118377</v>
      </c>
      <c r="N207" s="368">
        <v>380.3769265471372</v>
      </c>
      <c r="O207" s="368">
        <v>392.6270561579764</v>
      </c>
      <c r="P207" s="368">
        <v>404.10224863514</v>
      </c>
      <c r="Q207" s="369">
        <v>416.0869229820442</v>
      </c>
    </row>
    <row r="208" spans="1:17" ht="15">
      <c r="A208" s="57">
        <v>64</v>
      </c>
      <c r="B208" s="363">
        <v>205</v>
      </c>
      <c r="C208" s="363">
        <v>214</v>
      </c>
      <c r="D208" s="363">
        <v>222</v>
      </c>
      <c r="E208" s="363">
        <v>232</v>
      </c>
      <c r="F208" s="363">
        <v>239</v>
      </c>
      <c r="G208" s="363">
        <v>246.99495287913876</v>
      </c>
      <c r="H208" s="363">
        <v>255.55498593333678</v>
      </c>
      <c r="I208" s="367">
        <v>267.67142454295384</v>
      </c>
      <c r="J208" s="368">
        <v>284.24977906313353</v>
      </c>
      <c r="K208" s="368">
        <v>303.8608042312394</v>
      </c>
      <c r="L208" s="368">
        <v>324.72364577269406</v>
      </c>
      <c r="M208" s="368">
        <v>344.5530828969935</v>
      </c>
      <c r="N208" s="368">
        <v>362.25080687982046</v>
      </c>
      <c r="O208" s="368">
        <v>376.7646034743753</v>
      </c>
      <c r="P208" s="368">
        <v>388.95774593560054</v>
      </c>
      <c r="Q208" s="369">
        <v>400.385167747736</v>
      </c>
    </row>
    <row r="209" spans="1:17" ht="15">
      <c r="A209" s="57">
        <v>65</v>
      </c>
      <c r="B209" s="363">
        <v>195</v>
      </c>
      <c r="C209" s="363">
        <v>204</v>
      </c>
      <c r="D209" s="363">
        <v>212</v>
      </c>
      <c r="E209" s="363">
        <v>220</v>
      </c>
      <c r="F209" s="363">
        <v>229.725</v>
      </c>
      <c r="G209" s="363">
        <v>237.02979627562482</v>
      </c>
      <c r="H209" s="363">
        <v>244.10521410539295</v>
      </c>
      <c r="I209" s="367">
        <v>252.6155829052364</v>
      </c>
      <c r="J209" s="368">
        <v>264.64404388088207</v>
      </c>
      <c r="K209" s="368">
        <v>281.0880451178936</v>
      </c>
      <c r="L209" s="368">
        <v>300.5362649525679</v>
      </c>
      <c r="M209" s="368">
        <v>321.2284220162581</v>
      </c>
      <c r="N209" s="368">
        <v>340.90390386713887</v>
      </c>
      <c r="O209" s="368">
        <v>358.47507821291777</v>
      </c>
      <c r="P209" s="368">
        <v>372.8992534065921</v>
      </c>
      <c r="Q209" s="369">
        <v>385.0292735101553</v>
      </c>
    </row>
    <row r="210" spans="1:17" ht="15">
      <c r="A210" s="57">
        <v>66</v>
      </c>
      <c r="B210" s="363">
        <v>189</v>
      </c>
      <c r="C210" s="363">
        <v>193</v>
      </c>
      <c r="D210" s="363">
        <v>201</v>
      </c>
      <c r="E210" s="363">
        <v>210</v>
      </c>
      <c r="F210" s="363">
        <v>219</v>
      </c>
      <c r="G210" s="363">
        <v>226.856917130964</v>
      </c>
      <c r="H210" s="363">
        <v>233.99561697679292</v>
      </c>
      <c r="I210" s="367">
        <v>241.03252941794804</v>
      </c>
      <c r="J210" s="368">
        <v>249.48813427677638</v>
      </c>
      <c r="K210" s="368">
        <v>261.4211063680839</v>
      </c>
      <c r="L210" s="368">
        <v>277.7201083537081</v>
      </c>
      <c r="M210" s="368">
        <v>296.9928377251762</v>
      </c>
      <c r="N210" s="368">
        <v>317.5009025609344</v>
      </c>
      <c r="O210" s="368">
        <v>337.00993744210314</v>
      </c>
      <c r="P210" s="368">
        <v>354.4437431176599</v>
      </c>
      <c r="Q210" s="369">
        <v>368.76985453551407</v>
      </c>
    </row>
    <row r="211" spans="1:17" ht="15">
      <c r="A211" s="57">
        <v>67</v>
      </c>
      <c r="B211" s="363">
        <v>184</v>
      </c>
      <c r="C211" s="363">
        <v>187</v>
      </c>
      <c r="D211" s="363">
        <v>192</v>
      </c>
      <c r="E211" s="363">
        <v>199.062</v>
      </c>
      <c r="F211" s="363">
        <v>208.397</v>
      </c>
      <c r="G211" s="363">
        <v>216.80800198605988</v>
      </c>
      <c r="H211" s="363">
        <v>223.67295100559767</v>
      </c>
      <c r="I211" s="367">
        <v>230.76539562792237</v>
      </c>
      <c r="J211" s="368">
        <v>237.75915780385924</v>
      </c>
      <c r="K211" s="368">
        <v>246.15436198536875</v>
      </c>
      <c r="L211" s="368">
        <v>257.98342368613646</v>
      </c>
      <c r="M211" s="368">
        <v>274.1255507637313</v>
      </c>
      <c r="N211" s="368">
        <v>293.20865698053257</v>
      </c>
      <c r="O211" s="368">
        <v>313.5176843459106</v>
      </c>
      <c r="P211" s="368">
        <v>332.8463184009979</v>
      </c>
      <c r="Q211" s="369">
        <v>350.1306298557364</v>
      </c>
    </row>
    <row r="212" spans="1:17" ht="15">
      <c r="A212" s="57">
        <v>68</v>
      </c>
      <c r="B212" s="363">
        <v>178</v>
      </c>
      <c r="C212" s="363">
        <v>182</v>
      </c>
      <c r="D212" s="363">
        <v>185</v>
      </c>
      <c r="E212" s="363">
        <v>191</v>
      </c>
      <c r="F212" s="363">
        <v>198</v>
      </c>
      <c r="G212" s="363">
        <v>206.3921938501828</v>
      </c>
      <c r="H212" s="363">
        <v>213.46805436059648</v>
      </c>
      <c r="I212" s="367">
        <v>220.28295416198947</v>
      </c>
      <c r="J212" s="368">
        <v>227.32375601764736</v>
      </c>
      <c r="K212" s="368">
        <v>234.2692592095681</v>
      </c>
      <c r="L212" s="368">
        <v>242.59774350374974</v>
      </c>
      <c r="M212" s="368">
        <v>254.31355777424145</v>
      </c>
      <c r="N212" s="368">
        <v>270.28572174367184</v>
      </c>
      <c r="O212" s="368">
        <v>289.1636517756387</v>
      </c>
      <c r="P212" s="368">
        <v>309.25718388189046</v>
      </c>
      <c r="Q212" s="369">
        <v>328.3900109657502</v>
      </c>
    </row>
    <row r="213" spans="1:17" ht="15">
      <c r="A213" s="57">
        <v>69</v>
      </c>
      <c r="B213" s="363">
        <v>172</v>
      </c>
      <c r="C213" s="363">
        <v>174</v>
      </c>
      <c r="D213" s="363">
        <v>180</v>
      </c>
      <c r="E213" s="363">
        <v>183</v>
      </c>
      <c r="F213" s="363">
        <v>188</v>
      </c>
      <c r="G213" s="363">
        <v>195.8623584458298</v>
      </c>
      <c r="H213" s="363">
        <v>202.89992680531088</v>
      </c>
      <c r="I213" s="367">
        <v>209.91345705634916</v>
      </c>
      <c r="J213" s="368">
        <v>216.6724356631207</v>
      </c>
      <c r="K213" s="368">
        <v>223.65568867730912</v>
      </c>
      <c r="L213" s="368">
        <v>230.54718075105524</v>
      </c>
      <c r="M213" s="368">
        <v>238.8018874975244</v>
      </c>
      <c r="N213" s="368">
        <v>250.39414444289187</v>
      </c>
      <c r="O213" s="368">
        <v>266.18198359649386</v>
      </c>
      <c r="P213" s="368">
        <v>284.8376969105143</v>
      </c>
      <c r="Q213" s="369">
        <v>304.697689045235</v>
      </c>
    </row>
    <row r="214" spans="1:17" ht="15">
      <c r="A214" s="57">
        <v>70</v>
      </c>
      <c r="B214" s="363">
        <v>162</v>
      </c>
      <c r="C214" s="363">
        <v>170</v>
      </c>
      <c r="D214" s="363">
        <v>171</v>
      </c>
      <c r="E214" s="363">
        <v>177</v>
      </c>
      <c r="F214" s="363">
        <v>179</v>
      </c>
      <c r="G214" s="363">
        <v>185.4621849385853</v>
      </c>
      <c r="H214" s="363">
        <v>192.21893339680958</v>
      </c>
      <c r="I214" s="367">
        <v>199.18444397252492</v>
      </c>
      <c r="J214" s="368">
        <v>206.1287142675427</v>
      </c>
      <c r="K214" s="368">
        <v>212.82531564424897</v>
      </c>
      <c r="L214" s="368">
        <v>219.74437614569098</v>
      </c>
      <c r="M214" s="368">
        <v>226.5753712370455</v>
      </c>
      <c r="N214" s="368">
        <v>234.74840164078952</v>
      </c>
      <c r="O214" s="368">
        <v>246.2056861112128</v>
      </c>
      <c r="P214" s="368">
        <v>261.79339439009607</v>
      </c>
      <c r="Q214" s="369">
        <v>280.20816377019145</v>
      </c>
    </row>
    <row r="215" spans="1:17" ht="15">
      <c r="A215" s="57">
        <v>71</v>
      </c>
      <c r="B215" s="363">
        <v>168</v>
      </c>
      <c r="C215" s="363">
        <v>158</v>
      </c>
      <c r="D215" s="363">
        <v>168</v>
      </c>
      <c r="E215" s="363">
        <v>167</v>
      </c>
      <c r="F215" s="363">
        <v>173</v>
      </c>
      <c r="G215" s="363">
        <v>175.88138282952065</v>
      </c>
      <c r="H215" s="363">
        <v>181.66386311829604</v>
      </c>
      <c r="I215" s="367">
        <v>188.3423561174576</v>
      </c>
      <c r="J215" s="368">
        <v>195.2279352109456</v>
      </c>
      <c r="K215" s="368">
        <v>202.09529385409385</v>
      </c>
      <c r="L215" s="368">
        <v>208.72222026636473</v>
      </c>
      <c r="M215" s="368">
        <v>215.56957868457098</v>
      </c>
      <c r="N215" s="368">
        <v>222.3327296522564</v>
      </c>
      <c r="O215" s="368">
        <v>230.41519451202925</v>
      </c>
      <c r="P215" s="368">
        <v>241.72478400711287</v>
      </c>
      <c r="Q215" s="369">
        <v>257.09484180339973</v>
      </c>
    </row>
    <row r="216" spans="1:17" ht="15">
      <c r="A216" s="57">
        <v>72</v>
      </c>
      <c r="B216" s="363">
        <v>155</v>
      </c>
      <c r="C216" s="363">
        <v>164</v>
      </c>
      <c r="D216" s="363">
        <v>154</v>
      </c>
      <c r="E216" s="363">
        <v>164</v>
      </c>
      <c r="F216" s="363">
        <v>164</v>
      </c>
      <c r="G216" s="363">
        <v>167.59881576369796</v>
      </c>
      <c r="H216" s="363">
        <v>171.90747321117294</v>
      </c>
      <c r="I216" s="367">
        <v>177.6205700595646</v>
      </c>
      <c r="J216" s="368">
        <v>184.21214725166013</v>
      </c>
      <c r="K216" s="368">
        <v>191.00905005078945</v>
      </c>
      <c r="L216" s="368">
        <v>197.79082889308245</v>
      </c>
      <c r="M216" s="368">
        <v>204.3397873674129</v>
      </c>
      <c r="N216" s="368">
        <v>211.1069095540165</v>
      </c>
      <c r="O216" s="368">
        <v>217.79385002184495</v>
      </c>
      <c r="P216" s="368">
        <v>225.77568522058857</v>
      </c>
      <c r="Q216" s="369">
        <v>236.92330100340112</v>
      </c>
    </row>
    <row r="217" spans="1:17" ht="15">
      <c r="A217" s="57">
        <v>73</v>
      </c>
      <c r="B217" s="363">
        <v>139</v>
      </c>
      <c r="C217" s="363">
        <v>150</v>
      </c>
      <c r="D217" s="363">
        <v>161</v>
      </c>
      <c r="E217" s="363">
        <v>148</v>
      </c>
      <c r="F217" s="363">
        <v>159</v>
      </c>
      <c r="G217" s="363">
        <v>160.91995428139225</v>
      </c>
      <c r="H217" s="363">
        <v>163.4109777615293</v>
      </c>
      <c r="I217" s="367">
        <v>167.67448157682085</v>
      </c>
      <c r="J217" s="368">
        <v>173.30966397433176</v>
      </c>
      <c r="K217" s="368">
        <v>179.80466006505486</v>
      </c>
      <c r="L217" s="368">
        <v>186.50295744917867</v>
      </c>
      <c r="M217" s="368">
        <v>193.18929768739332</v>
      </c>
      <c r="N217" s="368">
        <v>199.65082815957402</v>
      </c>
      <c r="O217" s="368">
        <v>206.32797759613067</v>
      </c>
      <c r="P217" s="368">
        <v>212.92914388130868</v>
      </c>
      <c r="Q217" s="369">
        <v>220.7989054538434</v>
      </c>
    </row>
    <row r="218" spans="1:17" ht="15">
      <c r="A218" s="57">
        <v>74</v>
      </c>
      <c r="B218" s="363">
        <v>116.211</v>
      </c>
      <c r="C218" s="363">
        <v>131.916</v>
      </c>
      <c r="D218" s="363">
        <v>145.621</v>
      </c>
      <c r="E218" s="363">
        <v>157.016</v>
      </c>
      <c r="F218" s="363">
        <v>143.422</v>
      </c>
      <c r="G218" s="363">
        <v>155.25182615736367</v>
      </c>
      <c r="H218" s="363">
        <v>156.4620061709231</v>
      </c>
      <c r="I218" s="367">
        <v>158.94805812558303</v>
      </c>
      <c r="J218" s="368">
        <v>163.158975023034</v>
      </c>
      <c r="K218" s="368">
        <v>168.70668336256358</v>
      </c>
      <c r="L218" s="368">
        <v>175.0941241838763</v>
      </c>
      <c r="M218" s="368">
        <v>181.6825365103205</v>
      </c>
      <c r="N218" s="368">
        <v>188.26221875138708</v>
      </c>
      <c r="O218" s="368">
        <v>194.62552340657885</v>
      </c>
      <c r="P218" s="368">
        <v>201.20158428667656</v>
      </c>
      <c r="Q218" s="369">
        <v>207.7060361944787</v>
      </c>
    </row>
    <row r="219" spans="1:17" ht="15">
      <c r="A219" s="57" t="s">
        <v>102</v>
      </c>
      <c r="B219" s="363">
        <f>SUM('[1]POP'!$B$260:$B$285)</f>
        <v>973.27</v>
      </c>
      <c r="C219" s="363">
        <f>SUM('[1]POP'!$C$260:$C$285)</f>
        <v>1017.0189999999999</v>
      </c>
      <c r="D219" s="363">
        <f>SUM('[1]POP'!$D$260:$D$285)</f>
        <v>1077.054</v>
      </c>
      <c r="E219" s="363">
        <f>SUM('[1]POP'!$E$260:$E$285)</f>
        <v>1157.469</v>
      </c>
      <c r="F219" s="363">
        <v>1280</v>
      </c>
      <c r="G219" s="363">
        <f>SUM('[1]POP'!$G$260:$G$285)</f>
        <v>1317.1715332937115</v>
      </c>
      <c r="H219" s="363">
        <f>SUM('[1]POP'!$H$260:$H$285)</f>
        <v>1373.7743865325485</v>
      </c>
      <c r="I219" s="370">
        <v>1428.0695935949152</v>
      </c>
      <c r="J219" s="368">
        <v>1481.1686790018625</v>
      </c>
      <c r="K219" s="368">
        <v>1428.0695935949152</v>
      </c>
      <c r="L219" s="368">
        <v>1481.1686790018625</v>
      </c>
      <c r="M219" s="368">
        <v>1428.0695935949152</v>
      </c>
      <c r="N219" s="368">
        <v>1481.1686790018625</v>
      </c>
      <c r="O219" s="368">
        <v>1428.0695935949152</v>
      </c>
      <c r="P219" s="368">
        <v>1481.1686790018625</v>
      </c>
      <c r="Q219" s="369">
        <v>1428.0695935949152</v>
      </c>
    </row>
    <row r="220" spans="1:17" ht="15">
      <c r="A220" s="298" t="s">
        <v>15</v>
      </c>
      <c r="B220" s="299">
        <f aca="true" t="shared" si="78" ref="B220:Q220">SUM(B144:B219)</f>
        <v>31588.481</v>
      </c>
      <c r="C220" s="299">
        <f t="shared" si="78"/>
        <v>31825.935</v>
      </c>
      <c r="D220" s="299">
        <f t="shared" si="78"/>
        <v>32068.646</v>
      </c>
      <c r="E220" s="299">
        <f t="shared" si="78"/>
        <v>32301.243000000002</v>
      </c>
      <c r="F220" s="299">
        <f t="shared" si="78"/>
        <v>32543.262</v>
      </c>
      <c r="G220" s="299">
        <f t="shared" si="78"/>
        <v>32704.756545255816</v>
      </c>
      <c r="H220" s="299">
        <f t="shared" si="78"/>
        <v>32872.706561637264</v>
      </c>
      <c r="I220" s="299">
        <f t="shared" si="78"/>
        <v>33032.56875081433</v>
      </c>
      <c r="J220" s="299">
        <f t="shared" si="78"/>
        <v>33184.760029086094</v>
      </c>
      <c r="K220" s="299">
        <f t="shared" si="78"/>
        <v>33222.77456905508</v>
      </c>
      <c r="L220" s="299">
        <f t="shared" si="78"/>
        <v>33357.89417181549</v>
      </c>
      <c r="M220" s="299">
        <f t="shared" si="78"/>
        <v>33377.08099578488</v>
      </c>
      <c r="N220" s="299">
        <f t="shared" si="78"/>
        <v>33489.90000361864</v>
      </c>
      <c r="O220" s="299">
        <f t="shared" si="78"/>
        <v>33484.09092896848</v>
      </c>
      <c r="P220" s="299">
        <f t="shared" si="78"/>
        <v>33572.323450814314</v>
      </c>
      <c r="Q220" s="74">
        <f t="shared" si="78"/>
        <v>33541.995162199746</v>
      </c>
    </row>
    <row r="221" spans="1:17" ht="15">
      <c r="A221" s="1"/>
      <c r="B221" s="1"/>
      <c r="C221" s="1"/>
      <c r="D221" s="1"/>
      <c r="E221" s="1"/>
      <c r="F221" s="37"/>
      <c r="G221" s="1"/>
      <c r="H221" s="1"/>
      <c r="I221" s="1"/>
      <c r="J221" s="1"/>
      <c r="K221" s="1"/>
      <c r="L221" s="1"/>
      <c r="M221" s="1"/>
      <c r="N221" s="1"/>
      <c r="O221" s="1"/>
      <c r="P221" s="1"/>
      <c r="Q221" s="1"/>
    </row>
    <row r="222" spans="1:17" ht="17.25">
      <c r="A222" s="2" t="s">
        <v>24</v>
      </c>
      <c r="B222" s="1"/>
      <c r="C222" s="1"/>
      <c r="D222" s="1"/>
      <c r="E222" s="1"/>
      <c r="F222" s="37"/>
      <c r="G222" s="1"/>
      <c r="H222" s="1"/>
      <c r="I222" s="1"/>
      <c r="J222" s="1"/>
      <c r="K222" s="1"/>
      <c r="L222" s="1"/>
      <c r="M222" s="1"/>
      <c r="N222" s="1"/>
      <c r="O222" s="1"/>
      <c r="P222" s="1"/>
      <c r="Q222" s="1"/>
    </row>
    <row r="223" spans="1:17" ht="15">
      <c r="A223" s="298" t="s">
        <v>1</v>
      </c>
      <c r="B223" s="73">
        <v>2005</v>
      </c>
      <c r="C223" s="73">
        <v>2006</v>
      </c>
      <c r="D223" s="73">
        <v>2007</v>
      </c>
      <c r="E223" s="73">
        <v>2008</v>
      </c>
      <c r="F223" s="75">
        <v>2009</v>
      </c>
      <c r="G223" s="73">
        <v>2010</v>
      </c>
      <c r="H223" s="73">
        <v>2011</v>
      </c>
      <c r="I223" s="73">
        <v>2012</v>
      </c>
      <c r="J223" s="73">
        <v>2013</v>
      </c>
      <c r="K223" s="73">
        <v>2014</v>
      </c>
      <c r="L223" s="73">
        <v>2015</v>
      </c>
      <c r="M223" s="73">
        <v>2016</v>
      </c>
      <c r="N223" s="73">
        <v>2017</v>
      </c>
      <c r="O223" s="73">
        <v>2018</v>
      </c>
      <c r="P223" s="73">
        <v>2019</v>
      </c>
      <c r="Q223" s="73">
        <v>2020</v>
      </c>
    </row>
    <row r="224" spans="1:17" ht="15">
      <c r="A224" s="52">
        <v>0</v>
      </c>
      <c r="B224" s="371">
        <f>B64+B144</f>
        <v>828</v>
      </c>
      <c r="C224" s="372">
        <f>C64+C144</f>
        <v>811</v>
      </c>
      <c r="D224" s="372">
        <f>D64+D144</f>
        <v>795</v>
      </c>
      <c r="E224" s="372">
        <f aca="true" t="shared" si="79" ref="E224:H224">E64+E144</f>
        <v>779</v>
      </c>
      <c r="F224" s="372">
        <f t="shared" si="79"/>
        <v>762</v>
      </c>
      <c r="G224" s="372">
        <f t="shared" si="79"/>
        <v>744.8678134552836</v>
      </c>
      <c r="H224" s="372">
        <f t="shared" si="79"/>
        <v>763.2202653074953</v>
      </c>
      <c r="I224" s="376">
        <v>755.8588229583834</v>
      </c>
      <c r="J224" s="377">
        <v>749.1310179998336</v>
      </c>
      <c r="K224" s="377">
        <v>742.9859449844909</v>
      </c>
      <c r="L224" s="377">
        <v>737.3688767891987</v>
      </c>
      <c r="M224" s="377">
        <v>732.1987858935399</v>
      </c>
      <c r="N224" s="377">
        <v>721.6833249547869</v>
      </c>
      <c r="O224" s="377">
        <v>711.4587208891621</v>
      </c>
      <c r="P224" s="377">
        <v>701.4138504665746</v>
      </c>
      <c r="Q224" s="378">
        <v>691.4476772798305</v>
      </c>
    </row>
    <row r="225" spans="1:18" ht="15">
      <c r="A225" s="52">
        <v>1</v>
      </c>
      <c r="B225" s="373">
        <f>B65+B145</f>
        <v>843</v>
      </c>
      <c r="C225" s="363">
        <f>C65+C145</f>
        <v>825</v>
      </c>
      <c r="D225" s="363">
        <f aca="true" t="shared" si="80" ref="D225:H225">D65+D145</f>
        <v>809</v>
      </c>
      <c r="E225" s="363">
        <f t="shared" si="80"/>
        <v>793</v>
      </c>
      <c r="F225" s="363">
        <f t="shared" si="80"/>
        <v>777</v>
      </c>
      <c r="G225" s="363">
        <f t="shared" si="80"/>
        <v>760.2087722555534</v>
      </c>
      <c r="H225" s="363">
        <f t="shared" si="80"/>
        <v>741.3719111080982</v>
      </c>
      <c r="I225" s="379">
        <v>759.4376446373954</v>
      </c>
      <c r="J225" s="380">
        <v>752.2052403506646</v>
      </c>
      <c r="K225" s="380">
        <v>745.5993549147228</v>
      </c>
      <c r="L225" s="380">
        <v>739.5696899794963</v>
      </c>
      <c r="M225" s="380">
        <v>734.0621013573486</v>
      </c>
      <c r="N225" s="380">
        <v>728.9962192028962</v>
      </c>
      <c r="O225" s="380">
        <v>718.6046688843749</v>
      </c>
      <c r="P225" s="380">
        <v>708.4986474126807</v>
      </c>
      <c r="Q225" s="381">
        <v>698.5677176752263</v>
      </c>
      <c r="R225" s="281"/>
    </row>
    <row r="226" spans="1:17" ht="15">
      <c r="A226" s="52">
        <v>2</v>
      </c>
      <c r="B226" s="373">
        <f>B66+B146</f>
        <v>855</v>
      </c>
      <c r="C226" s="363">
        <f>C66+C146</f>
        <v>841</v>
      </c>
      <c r="D226" s="363">
        <f aca="true" t="shared" si="81" ref="D226:H226">D66+D146</f>
        <v>823</v>
      </c>
      <c r="E226" s="363">
        <f t="shared" si="81"/>
        <v>807</v>
      </c>
      <c r="F226" s="363">
        <f t="shared" si="81"/>
        <v>791</v>
      </c>
      <c r="G226" s="363">
        <f t="shared" si="81"/>
        <v>774.5183777976827</v>
      </c>
      <c r="H226" s="363">
        <f t="shared" si="81"/>
        <v>757.9834815238253</v>
      </c>
      <c r="I226" s="379">
        <v>739.5532247730459</v>
      </c>
      <c r="J226" s="380">
        <v>757.6191560384366</v>
      </c>
      <c r="K226" s="380">
        <v>750.4464220451521</v>
      </c>
      <c r="L226" s="380">
        <v>743.8969075083041</v>
      </c>
      <c r="M226" s="380">
        <v>737.9205944902702</v>
      </c>
      <c r="N226" s="380">
        <v>732.4636091053062</v>
      </c>
      <c r="O226" s="380">
        <v>727.4458894831541</v>
      </c>
      <c r="P226" s="380">
        <v>717.1121584284582</v>
      </c>
      <c r="Q226" s="381">
        <v>707.0615050534097</v>
      </c>
    </row>
    <row r="227" spans="1:17" ht="15">
      <c r="A227" s="52">
        <v>3</v>
      </c>
      <c r="B227" s="373">
        <f aca="true" t="shared" si="82" ref="B227:H290">B67+B147</f>
        <v>871</v>
      </c>
      <c r="C227" s="363">
        <f t="shared" si="82"/>
        <v>853</v>
      </c>
      <c r="D227" s="363">
        <f t="shared" si="82"/>
        <v>838</v>
      </c>
      <c r="E227" s="363">
        <f t="shared" si="82"/>
        <v>821</v>
      </c>
      <c r="F227" s="363">
        <f t="shared" si="82"/>
        <v>805</v>
      </c>
      <c r="G227" s="363">
        <f t="shared" si="82"/>
        <v>788.817102227513</v>
      </c>
      <c r="H227" s="363">
        <f t="shared" si="82"/>
        <v>772.895802185041</v>
      </c>
      <c r="I227" s="379">
        <v>756.5720400018586</v>
      </c>
      <c r="J227" s="380">
        <v>738.2082874495976</v>
      </c>
      <c r="K227" s="380">
        <v>756.2738875400357</v>
      </c>
      <c r="L227" s="380">
        <v>749.1448506818524</v>
      </c>
      <c r="M227" s="380">
        <v>742.6366228571438</v>
      </c>
      <c r="N227" s="380">
        <v>736.6993908293327</v>
      </c>
      <c r="O227" s="380">
        <v>731.2794783245638</v>
      </c>
      <c r="P227" s="380">
        <v>726.2970493648342</v>
      </c>
      <c r="Q227" s="381">
        <v>716.0057923020001</v>
      </c>
    </row>
    <row r="228" spans="1:17" ht="15">
      <c r="A228" s="52">
        <v>4</v>
      </c>
      <c r="B228" s="373">
        <f t="shared" si="82"/>
        <v>883</v>
      </c>
      <c r="C228" s="363">
        <f t="shared" si="82"/>
        <v>868</v>
      </c>
      <c r="D228" s="363">
        <f t="shared" si="82"/>
        <v>851</v>
      </c>
      <c r="E228" s="363">
        <f t="shared" si="82"/>
        <v>836</v>
      </c>
      <c r="F228" s="363">
        <f t="shared" si="82"/>
        <v>819</v>
      </c>
      <c r="G228" s="363">
        <f t="shared" si="82"/>
        <v>803.1254176908863</v>
      </c>
      <c r="H228" s="363">
        <f t="shared" si="82"/>
        <v>787.5553875450739</v>
      </c>
      <c r="I228" s="379">
        <v>771.8141083654915</v>
      </c>
      <c r="J228" s="380">
        <v>755.537716286973</v>
      </c>
      <c r="K228" s="380">
        <v>737.2224660283832</v>
      </c>
      <c r="L228" s="380">
        <v>755.2876182904629</v>
      </c>
      <c r="M228" s="380">
        <v>748.190396103552</v>
      </c>
      <c r="N228" s="380">
        <v>741.7122331008862</v>
      </c>
      <c r="O228" s="380">
        <v>735.8034646894773</v>
      </c>
      <c r="P228" s="380">
        <v>730.4105582449042</v>
      </c>
      <c r="Q228" s="381">
        <v>725.453842382306</v>
      </c>
    </row>
    <row r="229" spans="1:17" ht="15">
      <c r="A229" s="52">
        <v>5</v>
      </c>
      <c r="B229" s="373">
        <f t="shared" si="82"/>
        <v>897</v>
      </c>
      <c r="C229" s="363">
        <f t="shared" si="82"/>
        <v>881</v>
      </c>
      <c r="D229" s="363">
        <f t="shared" si="82"/>
        <v>865.601</v>
      </c>
      <c r="E229" s="363">
        <f t="shared" si="82"/>
        <v>850</v>
      </c>
      <c r="F229" s="363">
        <f t="shared" si="82"/>
        <v>833.597</v>
      </c>
      <c r="G229" s="363">
        <f t="shared" si="82"/>
        <v>817.4705542243728</v>
      </c>
      <c r="H229" s="363">
        <f t="shared" si="82"/>
        <v>802.0616913141564</v>
      </c>
      <c r="I229" s="379">
        <v>786.7340482283089</v>
      </c>
      <c r="J229" s="380">
        <v>771.0277406979876</v>
      </c>
      <c r="K229" s="380">
        <v>754.7856624090233</v>
      </c>
      <c r="L229" s="380">
        <v>736.5055760809792</v>
      </c>
      <c r="M229" s="380">
        <v>754.5703543089469</v>
      </c>
      <c r="N229" s="380">
        <v>747.4961722251926</v>
      </c>
      <c r="O229" s="380">
        <v>741.0397868004663</v>
      </c>
      <c r="P229" s="380">
        <v>735.1516408226868</v>
      </c>
      <c r="Q229" s="381">
        <v>729.7783055168306</v>
      </c>
    </row>
    <row r="230" spans="1:19" ht="15">
      <c r="A230" s="52">
        <v>6</v>
      </c>
      <c r="B230" s="373">
        <f t="shared" si="82"/>
        <v>906</v>
      </c>
      <c r="C230" s="363">
        <f t="shared" si="82"/>
        <v>895</v>
      </c>
      <c r="D230" s="363">
        <f t="shared" si="82"/>
        <v>879</v>
      </c>
      <c r="E230" s="363">
        <f t="shared" si="82"/>
        <v>863</v>
      </c>
      <c r="F230" s="363">
        <f t="shared" si="82"/>
        <v>848</v>
      </c>
      <c r="G230" s="363">
        <f t="shared" si="82"/>
        <v>831.8729839738141</v>
      </c>
      <c r="H230" s="363">
        <f t="shared" si="82"/>
        <v>816.5268132597798</v>
      </c>
      <c r="I230" s="379">
        <v>801.4395985424228</v>
      </c>
      <c r="J230" s="380">
        <v>786.1378745881178</v>
      </c>
      <c r="K230" s="380">
        <v>770.4568877951949</v>
      </c>
      <c r="L230" s="380">
        <v>754.2396676790129</v>
      </c>
      <c r="M230" s="380">
        <v>735.9850796783348</v>
      </c>
      <c r="N230" s="380">
        <v>754.0496209376934</v>
      </c>
      <c r="O230" s="380">
        <v>746.9921363789307</v>
      </c>
      <c r="P230" s="380">
        <v>740.5515378566708</v>
      </c>
      <c r="Q230" s="381">
        <v>734.678345770292</v>
      </c>
      <c r="S230" s="282"/>
    </row>
    <row r="231" spans="1:19" ht="15">
      <c r="A231" s="52">
        <v>7</v>
      </c>
      <c r="B231" s="373">
        <f t="shared" si="82"/>
        <v>913</v>
      </c>
      <c r="C231" s="363">
        <f t="shared" si="82"/>
        <v>904</v>
      </c>
      <c r="D231" s="363">
        <f t="shared" si="82"/>
        <v>893</v>
      </c>
      <c r="E231" s="363">
        <f t="shared" si="82"/>
        <v>877</v>
      </c>
      <c r="F231" s="363">
        <f t="shared" si="82"/>
        <v>861</v>
      </c>
      <c r="G231" s="363">
        <f t="shared" si="82"/>
        <v>846.3329054128652</v>
      </c>
      <c r="H231" s="363">
        <f t="shared" si="82"/>
        <v>831.0439916227303</v>
      </c>
      <c r="I231" s="367">
        <v>816.0488166804644</v>
      </c>
      <c r="J231" s="368">
        <v>800.981211823113</v>
      </c>
      <c r="K231" s="368">
        <v>785.6985512377304</v>
      </c>
      <c r="L231" s="368">
        <v>770.0361964182584</v>
      </c>
      <c r="M231" s="368">
        <v>753.8372784059227</v>
      </c>
      <c r="N231" s="368">
        <v>735.6014827428642</v>
      </c>
      <c r="O231" s="368">
        <v>753.6659107394435</v>
      </c>
      <c r="P231" s="368">
        <v>746.6207306842134</v>
      </c>
      <c r="Q231" s="369">
        <v>740.1917694237335</v>
      </c>
      <c r="S231" s="282"/>
    </row>
    <row r="232" spans="1:17" ht="15">
      <c r="A232" s="52">
        <v>8</v>
      </c>
      <c r="B232" s="373">
        <f t="shared" si="82"/>
        <v>919</v>
      </c>
      <c r="C232" s="363">
        <f t="shared" si="82"/>
        <v>913</v>
      </c>
      <c r="D232" s="363">
        <f t="shared" si="82"/>
        <v>903</v>
      </c>
      <c r="E232" s="363">
        <f t="shared" si="82"/>
        <v>891</v>
      </c>
      <c r="F232" s="363">
        <f t="shared" si="82"/>
        <v>875</v>
      </c>
      <c r="G232" s="363">
        <f t="shared" si="82"/>
        <v>860.8167275615359</v>
      </c>
      <c r="H232" s="363">
        <f t="shared" si="82"/>
        <v>845.6561934644164</v>
      </c>
      <c r="I232" s="367">
        <v>830.6596301562847</v>
      </c>
      <c r="J232" s="368">
        <v>815.680059053484</v>
      </c>
      <c r="K232" s="368">
        <v>800.6275557906481</v>
      </c>
      <c r="L232" s="368">
        <v>785.3595808961896</v>
      </c>
      <c r="M232" s="368">
        <v>769.7115854189873</v>
      </c>
      <c r="N232" s="368">
        <v>753.5267795097913</v>
      </c>
      <c r="O232" s="368">
        <v>735.3054859197111</v>
      </c>
      <c r="P232" s="368">
        <v>753.3698650031683</v>
      </c>
      <c r="Q232" s="369">
        <v>746.334180745642</v>
      </c>
    </row>
    <row r="233" spans="1:17" ht="15">
      <c r="A233" s="52">
        <v>9</v>
      </c>
      <c r="B233" s="373">
        <f t="shared" si="82"/>
        <v>922</v>
      </c>
      <c r="C233" s="363">
        <f t="shared" si="82"/>
        <v>919</v>
      </c>
      <c r="D233" s="363">
        <f t="shared" si="82"/>
        <v>912</v>
      </c>
      <c r="E233" s="363">
        <f t="shared" si="82"/>
        <v>901</v>
      </c>
      <c r="F233" s="363">
        <f t="shared" si="82"/>
        <v>890</v>
      </c>
      <c r="G233" s="363">
        <f t="shared" si="82"/>
        <v>875.1894910789025</v>
      </c>
      <c r="H233" s="363">
        <f t="shared" si="82"/>
        <v>860.3254800506211</v>
      </c>
      <c r="I233" s="367">
        <v>845.3202290469108</v>
      </c>
      <c r="J233" s="368">
        <v>830.3371958740618</v>
      </c>
      <c r="K233" s="368">
        <v>815.370682311385</v>
      </c>
      <c r="L233" s="368">
        <v>800.3308198033855</v>
      </c>
      <c r="M233" s="368">
        <v>785.0751408827164</v>
      </c>
      <c r="N233" s="368">
        <v>769.4391713644532</v>
      </c>
      <c r="O233" s="368">
        <v>753.2661874544383</v>
      </c>
      <c r="P233" s="368">
        <v>735.057046325131</v>
      </c>
      <c r="Q233" s="369">
        <v>753.1213661009139</v>
      </c>
    </row>
    <row r="234" spans="1:17" ht="15">
      <c r="A234" s="52">
        <v>10</v>
      </c>
      <c r="B234" s="373">
        <f t="shared" si="82"/>
        <v>927</v>
      </c>
      <c r="C234" s="363">
        <f t="shared" si="82"/>
        <v>922</v>
      </c>
      <c r="D234" s="363">
        <f t="shared" si="82"/>
        <v>919</v>
      </c>
      <c r="E234" s="363">
        <f t="shared" si="82"/>
        <v>911</v>
      </c>
      <c r="F234" s="363">
        <f t="shared" si="82"/>
        <v>901</v>
      </c>
      <c r="G234" s="363">
        <f t="shared" si="82"/>
        <v>889.2081103723776</v>
      </c>
      <c r="H234" s="363">
        <f t="shared" si="82"/>
        <v>874.7712752883999</v>
      </c>
      <c r="I234" s="367">
        <v>859.9993171702567</v>
      </c>
      <c r="J234" s="368">
        <v>845.0070898930653</v>
      </c>
      <c r="K234" s="368">
        <v>830.036624189961</v>
      </c>
      <c r="L234" s="368">
        <v>815.0822431844265</v>
      </c>
      <c r="M234" s="368">
        <v>800.0541291531658</v>
      </c>
      <c r="N234" s="368">
        <v>784.8098804676207</v>
      </c>
      <c r="O234" s="368">
        <v>769.1850913558371</v>
      </c>
      <c r="P234" s="368">
        <v>753.0230983919632</v>
      </c>
      <c r="Q234" s="369">
        <v>734.8252529736623</v>
      </c>
    </row>
    <row r="235" spans="1:17" ht="15">
      <c r="A235" s="52">
        <v>11</v>
      </c>
      <c r="B235" s="373">
        <f t="shared" si="82"/>
        <v>930</v>
      </c>
      <c r="C235" s="363">
        <f t="shared" si="82"/>
        <v>926</v>
      </c>
      <c r="D235" s="363">
        <f t="shared" si="82"/>
        <v>921</v>
      </c>
      <c r="E235" s="363">
        <f t="shared" si="82"/>
        <v>918</v>
      </c>
      <c r="F235" s="363">
        <f t="shared" si="82"/>
        <v>911</v>
      </c>
      <c r="G235" s="363">
        <f t="shared" si="82"/>
        <v>900.534889379169</v>
      </c>
      <c r="H235" s="363">
        <f t="shared" si="82"/>
        <v>888.4517899991517</v>
      </c>
      <c r="I235" s="367">
        <v>874.4221757947007</v>
      </c>
      <c r="J235" s="368">
        <v>859.6639430222027</v>
      </c>
      <c r="K235" s="368">
        <v>844.6850581801903</v>
      </c>
      <c r="L235" s="368">
        <v>829.7274721044549</v>
      </c>
      <c r="M235" s="368">
        <v>814.7855289016393</v>
      </c>
      <c r="N235" s="368">
        <v>799.769461923569</v>
      </c>
      <c r="O235" s="368">
        <v>784.5369359323361</v>
      </c>
      <c r="P235" s="368">
        <v>768.9236141767012</v>
      </c>
      <c r="Q235" s="369">
        <v>752.7728940474217</v>
      </c>
    </row>
    <row r="236" spans="1:17" ht="15">
      <c r="A236" s="52">
        <v>12</v>
      </c>
      <c r="B236" s="373">
        <f t="shared" si="82"/>
        <v>927</v>
      </c>
      <c r="C236" s="363">
        <f t="shared" si="82"/>
        <v>930</v>
      </c>
      <c r="D236" s="363">
        <f t="shared" si="82"/>
        <v>926</v>
      </c>
      <c r="E236" s="363">
        <f t="shared" si="82"/>
        <v>921</v>
      </c>
      <c r="F236" s="363">
        <f t="shared" si="82"/>
        <v>918</v>
      </c>
      <c r="G236" s="363">
        <f t="shared" si="82"/>
        <v>910.7915846921107</v>
      </c>
      <c r="H236" s="363">
        <f t="shared" si="82"/>
        <v>900.5944331401608</v>
      </c>
      <c r="I236" s="367">
        <v>888.0499603774915</v>
      </c>
      <c r="J236" s="368">
        <v>874.0356980157277</v>
      </c>
      <c r="K236" s="368">
        <v>859.2926200263494</v>
      </c>
      <c r="L236" s="368">
        <v>844.3284712118066</v>
      </c>
      <c r="M236" s="368">
        <v>829.3851135466394</v>
      </c>
      <c r="N236" s="368">
        <v>814.4569139405469</v>
      </c>
      <c r="O236" s="368">
        <v>799.4541618942922</v>
      </c>
      <c r="P236" s="368">
        <v>784.2345953113552</v>
      </c>
      <c r="Q236" s="369">
        <v>768.6339535282416</v>
      </c>
    </row>
    <row r="237" spans="1:17" ht="15">
      <c r="A237" s="52">
        <v>13</v>
      </c>
      <c r="B237" s="373">
        <f t="shared" si="82"/>
        <v>918</v>
      </c>
      <c r="C237" s="363">
        <f t="shared" si="82"/>
        <v>926</v>
      </c>
      <c r="D237" s="363">
        <f t="shared" si="82"/>
        <v>930</v>
      </c>
      <c r="E237" s="363">
        <f t="shared" si="82"/>
        <v>926</v>
      </c>
      <c r="F237" s="363">
        <f t="shared" si="82"/>
        <v>921</v>
      </c>
      <c r="G237" s="363">
        <f t="shared" si="82"/>
        <v>917.7148370464289</v>
      </c>
      <c r="H237" s="363">
        <f t="shared" si="82"/>
        <v>910.3281262437727</v>
      </c>
      <c r="I237" s="367">
        <v>900.1121193099146</v>
      </c>
      <c r="J237" s="368">
        <v>887.5851909239657</v>
      </c>
      <c r="K237" s="368">
        <v>873.5886624326386</v>
      </c>
      <c r="L237" s="368">
        <v>858.8630960348776</v>
      </c>
      <c r="M237" s="368">
        <v>843.915978089505</v>
      </c>
      <c r="N237" s="368">
        <v>828.9890669412914</v>
      </c>
      <c r="O237" s="368">
        <v>814.0767562060576</v>
      </c>
      <c r="P237" s="368">
        <v>799.0894011399564</v>
      </c>
      <c r="Q237" s="369">
        <v>783.8848253601218</v>
      </c>
    </row>
    <row r="238" spans="1:17" ht="15">
      <c r="A238" s="52">
        <v>14</v>
      </c>
      <c r="B238" s="373">
        <f t="shared" si="82"/>
        <v>906</v>
      </c>
      <c r="C238" s="363">
        <f t="shared" si="82"/>
        <v>918</v>
      </c>
      <c r="D238" s="363">
        <f t="shared" si="82"/>
        <v>926</v>
      </c>
      <c r="E238" s="363">
        <f t="shared" si="82"/>
        <v>930</v>
      </c>
      <c r="F238" s="363">
        <f t="shared" si="82"/>
        <v>926</v>
      </c>
      <c r="G238" s="363">
        <f t="shared" si="82"/>
        <v>921.3791817137965</v>
      </c>
      <c r="H238" s="363">
        <f t="shared" si="82"/>
        <v>917.0612889544129</v>
      </c>
      <c r="I238" s="367">
        <v>909.7424262643048</v>
      </c>
      <c r="J238" s="368">
        <v>899.5461515948056</v>
      </c>
      <c r="K238" s="368">
        <v>887.0397883927743</v>
      </c>
      <c r="L238" s="368">
        <v>873.0640593139003</v>
      </c>
      <c r="M238" s="368">
        <v>858.3590383239641</v>
      </c>
      <c r="N238" s="368">
        <v>843.4319051207999</v>
      </c>
      <c r="O238" s="368">
        <v>828.5242951487744</v>
      </c>
      <c r="P238" s="368">
        <v>813.6306341427418</v>
      </c>
      <c r="Q238" s="369">
        <v>798.6613561256147</v>
      </c>
    </row>
    <row r="239" spans="1:17" ht="15">
      <c r="A239" s="52">
        <v>15</v>
      </c>
      <c r="B239" s="373">
        <f t="shared" si="82"/>
        <v>890</v>
      </c>
      <c r="C239" s="363">
        <f t="shared" si="82"/>
        <v>906</v>
      </c>
      <c r="D239" s="363">
        <f t="shared" si="82"/>
        <v>918</v>
      </c>
      <c r="E239" s="363">
        <f t="shared" si="82"/>
        <v>926</v>
      </c>
      <c r="F239" s="363">
        <f t="shared" si="82"/>
        <v>929</v>
      </c>
      <c r="G239" s="363">
        <f t="shared" si="82"/>
        <v>926.1675053729617</v>
      </c>
      <c r="H239" s="363">
        <f t="shared" si="82"/>
        <v>921.0162640231351</v>
      </c>
      <c r="I239" s="367">
        <v>916.3548515630675</v>
      </c>
      <c r="J239" s="368">
        <v>909.0574747687738</v>
      </c>
      <c r="K239" s="368">
        <v>898.8842198767111</v>
      </c>
      <c r="L239" s="368">
        <v>886.4018699206716</v>
      </c>
      <c r="M239" s="368">
        <v>872.4504420120054</v>
      </c>
      <c r="N239" s="368">
        <v>857.7694340202797</v>
      </c>
      <c r="O239" s="368">
        <v>842.8656634829301</v>
      </c>
      <c r="P239" s="368">
        <v>827.9806206432834</v>
      </c>
      <c r="Q239" s="369">
        <v>813.1087693845975</v>
      </c>
    </row>
    <row r="240" spans="1:17" ht="15">
      <c r="A240" s="52">
        <v>16</v>
      </c>
      <c r="B240" s="373">
        <f t="shared" si="82"/>
        <v>875</v>
      </c>
      <c r="C240" s="363">
        <f t="shared" si="82"/>
        <v>890</v>
      </c>
      <c r="D240" s="363">
        <f t="shared" si="82"/>
        <v>905</v>
      </c>
      <c r="E240" s="363">
        <f t="shared" si="82"/>
        <v>918</v>
      </c>
      <c r="F240" s="363">
        <f t="shared" si="82"/>
        <v>926</v>
      </c>
      <c r="G240" s="363">
        <f t="shared" si="82"/>
        <v>929.3319646000423</v>
      </c>
      <c r="H240" s="363">
        <f t="shared" si="82"/>
        <v>925.0594845587755</v>
      </c>
      <c r="I240" s="367">
        <v>920.1772351556558</v>
      </c>
      <c r="J240" s="368">
        <v>915.5388508478136</v>
      </c>
      <c r="K240" s="368">
        <v>908.2661852394283</v>
      </c>
      <c r="L240" s="368">
        <v>898.119433993608</v>
      </c>
      <c r="M240" s="368">
        <v>885.6647541841082</v>
      </c>
      <c r="N240" s="368">
        <v>871.7413440608932</v>
      </c>
      <c r="O240" s="368">
        <v>857.0880322048882</v>
      </c>
      <c r="P240" s="368">
        <v>842.2112149966379</v>
      </c>
      <c r="Q240" s="369">
        <v>827.3522135335569</v>
      </c>
    </row>
    <row r="241" spans="1:17" ht="15">
      <c r="A241" s="52">
        <v>17</v>
      </c>
      <c r="B241" s="373">
        <f t="shared" si="82"/>
        <v>869</v>
      </c>
      <c r="C241" s="363">
        <f t="shared" si="82"/>
        <v>875</v>
      </c>
      <c r="D241" s="363">
        <f t="shared" si="82"/>
        <v>890</v>
      </c>
      <c r="E241" s="363">
        <f t="shared" si="82"/>
        <v>904</v>
      </c>
      <c r="F241" s="363">
        <f t="shared" si="82"/>
        <v>917</v>
      </c>
      <c r="G241" s="363">
        <f t="shared" si="82"/>
        <v>925.6677902048714</v>
      </c>
      <c r="H241" s="363">
        <f t="shared" si="82"/>
        <v>927.8350495049835</v>
      </c>
      <c r="I241" s="367">
        <v>924.0876949251927</v>
      </c>
      <c r="J241" s="368">
        <v>919.2322210890612</v>
      </c>
      <c r="K241" s="368">
        <v>914.6196221979842</v>
      </c>
      <c r="L241" s="368">
        <v>907.3746560366124</v>
      </c>
      <c r="M241" s="368">
        <v>897.2576435835394</v>
      </c>
      <c r="N241" s="368">
        <v>884.8340356500789</v>
      </c>
      <c r="O241" s="368">
        <v>870.9421053098772</v>
      </c>
      <c r="P241" s="368">
        <v>856.3199243063979</v>
      </c>
      <c r="Q241" s="369">
        <v>841.4734122748409</v>
      </c>
    </row>
    <row r="242" spans="1:17" ht="15">
      <c r="A242" s="52">
        <v>18</v>
      </c>
      <c r="B242" s="373">
        <f t="shared" si="82"/>
        <v>872</v>
      </c>
      <c r="C242" s="363">
        <f t="shared" si="82"/>
        <v>868</v>
      </c>
      <c r="D242" s="363">
        <f t="shared" si="82"/>
        <v>874</v>
      </c>
      <c r="E242" s="363">
        <f t="shared" si="82"/>
        <v>888</v>
      </c>
      <c r="F242" s="363">
        <f t="shared" si="82"/>
        <v>903</v>
      </c>
      <c r="G242" s="363">
        <f t="shared" si="82"/>
        <v>916.4470154884434</v>
      </c>
      <c r="H242" s="363">
        <f t="shared" si="82"/>
        <v>925.0141408157137</v>
      </c>
      <c r="I242" s="367">
        <v>926.7534608430991</v>
      </c>
      <c r="J242" s="368">
        <v>923.0345501183806</v>
      </c>
      <c r="K242" s="368">
        <v>918.207904561904</v>
      </c>
      <c r="L242" s="368">
        <v>913.6230790438221</v>
      </c>
      <c r="M242" s="368">
        <v>906.4079799020783</v>
      </c>
      <c r="N242" s="368">
        <v>896.3230655202524</v>
      </c>
      <c r="O242" s="368">
        <v>883.9330203457507</v>
      </c>
      <c r="P242" s="368">
        <v>870.0751124181251</v>
      </c>
      <c r="Q242" s="369">
        <v>855.4865906452562</v>
      </c>
    </row>
    <row r="243" spans="1:17" ht="15">
      <c r="A243" s="52">
        <v>19</v>
      </c>
      <c r="B243" s="373">
        <f t="shared" si="82"/>
        <v>880</v>
      </c>
      <c r="C243" s="363">
        <f t="shared" si="82"/>
        <v>870</v>
      </c>
      <c r="D243" s="363">
        <f t="shared" si="82"/>
        <v>867</v>
      </c>
      <c r="E243" s="363">
        <f t="shared" si="82"/>
        <v>874</v>
      </c>
      <c r="F243" s="363">
        <f t="shared" si="82"/>
        <v>886</v>
      </c>
      <c r="G243" s="363">
        <f t="shared" si="82"/>
        <v>901.9640791290664</v>
      </c>
      <c r="H243" s="363">
        <f t="shared" si="82"/>
        <v>915.2129916526842</v>
      </c>
      <c r="I243" s="367">
        <v>923.8623810028079</v>
      </c>
      <c r="J243" s="368">
        <v>925.6253190846382</v>
      </c>
      <c r="K243" s="368">
        <v>921.9358592517938</v>
      </c>
      <c r="L243" s="368">
        <v>917.1390842794042</v>
      </c>
      <c r="M243" s="368">
        <v>912.5830469492448</v>
      </c>
      <c r="N243" s="368">
        <v>905.398939049086</v>
      </c>
      <c r="O243" s="368">
        <v>895.347363251686</v>
      </c>
      <c r="P243" s="368">
        <v>882.992204016683</v>
      </c>
      <c r="Q243" s="369">
        <v>869.1696793566239</v>
      </c>
    </row>
    <row r="244" spans="1:17" ht="15">
      <c r="A244" s="52">
        <v>20</v>
      </c>
      <c r="B244" s="373">
        <f t="shared" si="82"/>
        <v>891</v>
      </c>
      <c r="C244" s="363">
        <f t="shared" si="82"/>
        <v>879</v>
      </c>
      <c r="D244" s="363">
        <f t="shared" si="82"/>
        <v>870</v>
      </c>
      <c r="E244" s="363">
        <f t="shared" si="82"/>
        <v>867</v>
      </c>
      <c r="F244" s="363">
        <f t="shared" si="82"/>
        <v>873</v>
      </c>
      <c r="G244" s="363">
        <f t="shared" si="82"/>
        <v>885.583886044298</v>
      </c>
      <c r="H244" s="363">
        <f t="shared" si="82"/>
        <v>900.9848363867409</v>
      </c>
      <c r="I244" s="367">
        <v>914.0511108413268</v>
      </c>
      <c r="J244" s="368">
        <v>922.7157332030101</v>
      </c>
      <c r="K244" s="368">
        <v>924.5019517318564</v>
      </c>
      <c r="L244" s="368">
        <v>920.8416008449447</v>
      </c>
      <c r="M244" s="368">
        <v>916.0743721484697</v>
      </c>
      <c r="N244" s="368">
        <v>911.5468193350252</v>
      </c>
      <c r="O244" s="368">
        <v>904.3934060373347</v>
      </c>
      <c r="P244" s="368">
        <v>894.374878229172</v>
      </c>
      <c r="Q244" s="369">
        <v>882.054323958959</v>
      </c>
    </row>
    <row r="245" spans="1:17" ht="15">
      <c r="A245" s="52">
        <v>21</v>
      </c>
      <c r="B245" s="373">
        <f t="shared" si="82"/>
        <v>904</v>
      </c>
      <c r="C245" s="363">
        <f t="shared" si="82"/>
        <v>891</v>
      </c>
      <c r="D245" s="363">
        <f t="shared" si="82"/>
        <v>879</v>
      </c>
      <c r="E245" s="363">
        <f t="shared" si="82"/>
        <v>870</v>
      </c>
      <c r="F245" s="363">
        <f t="shared" si="82"/>
        <v>867</v>
      </c>
      <c r="G245" s="363">
        <f t="shared" si="82"/>
        <v>872.7145687221432</v>
      </c>
      <c r="H245" s="363">
        <f t="shared" si="82"/>
        <v>884.9128497475263</v>
      </c>
      <c r="I245" s="367">
        <v>899.827509251779</v>
      </c>
      <c r="J245" s="368">
        <v>912.9031647343832</v>
      </c>
      <c r="K245" s="368">
        <v>921.582593126612</v>
      </c>
      <c r="L245" s="368">
        <v>923.3915893903645</v>
      </c>
      <c r="M245" s="368">
        <v>919.759797346019</v>
      </c>
      <c r="N245" s="368">
        <v>915.0215785303008</v>
      </c>
      <c r="O245" s="368">
        <v>910.5220009180796</v>
      </c>
      <c r="P245" s="368">
        <v>903.3987621590238</v>
      </c>
      <c r="Q245" s="369">
        <v>893.4127491601381</v>
      </c>
    </row>
    <row r="246" spans="1:17" ht="15">
      <c r="A246" s="52">
        <v>22</v>
      </c>
      <c r="B246" s="373">
        <f t="shared" si="82"/>
        <v>918</v>
      </c>
      <c r="C246" s="363">
        <f t="shared" si="82"/>
        <v>904</v>
      </c>
      <c r="D246" s="363">
        <f t="shared" si="82"/>
        <v>891</v>
      </c>
      <c r="E246" s="363">
        <f t="shared" si="82"/>
        <v>879</v>
      </c>
      <c r="F246" s="363">
        <f t="shared" si="82"/>
        <v>868</v>
      </c>
      <c r="G246" s="363">
        <f t="shared" si="82"/>
        <v>866.0919523277357</v>
      </c>
      <c r="H246" s="363">
        <f t="shared" si="82"/>
        <v>871.681816065736</v>
      </c>
      <c r="I246" s="367">
        <v>883.7222265629445</v>
      </c>
      <c r="J246" s="368">
        <v>898.643607619437</v>
      </c>
      <c r="K246" s="368">
        <v>911.7286063055965</v>
      </c>
      <c r="L246" s="368">
        <v>920.4229426622242</v>
      </c>
      <c r="M246" s="368">
        <v>922.2550229639974</v>
      </c>
      <c r="N246" s="368">
        <v>918.6522516315354</v>
      </c>
      <c r="O246" s="368">
        <v>913.943533397889</v>
      </c>
      <c r="P246" s="368">
        <v>909.4724119336514</v>
      </c>
      <c r="Q246" s="369">
        <v>902.3798955147696</v>
      </c>
    </row>
    <row r="247" spans="1:17" ht="15">
      <c r="A247" s="52">
        <v>23</v>
      </c>
      <c r="B247" s="373">
        <f t="shared" si="82"/>
        <v>941</v>
      </c>
      <c r="C247" s="363">
        <f t="shared" si="82"/>
        <v>918</v>
      </c>
      <c r="D247" s="363">
        <f t="shared" si="82"/>
        <v>903</v>
      </c>
      <c r="E247" s="363">
        <f t="shared" si="82"/>
        <v>890</v>
      </c>
      <c r="F247" s="363">
        <f t="shared" si="82"/>
        <v>878</v>
      </c>
      <c r="G247" s="363">
        <f t="shared" si="82"/>
        <v>868.0934445421311</v>
      </c>
      <c r="H247" s="363">
        <f t="shared" si="82"/>
        <v>864.7711372221604</v>
      </c>
      <c r="I247" s="367">
        <v>870.4196533476346</v>
      </c>
      <c r="J247" s="368">
        <v>882.4706582683581</v>
      </c>
      <c r="K247" s="368">
        <v>897.3988268552098</v>
      </c>
      <c r="L247" s="368">
        <v>910.4933779575234</v>
      </c>
      <c r="M247" s="368">
        <v>919.2031334394527</v>
      </c>
      <c r="N247" s="368">
        <v>921.0592529665157</v>
      </c>
      <c r="O247" s="368">
        <v>917.4867877269727</v>
      </c>
      <c r="P247" s="368">
        <v>912.8088996588124</v>
      </c>
      <c r="Q247" s="369">
        <v>908.3675237747277</v>
      </c>
    </row>
    <row r="248" spans="1:17" ht="15">
      <c r="A248" s="52">
        <v>24</v>
      </c>
      <c r="B248" s="373">
        <f t="shared" si="82"/>
        <v>966</v>
      </c>
      <c r="C248" s="363">
        <f t="shared" si="82"/>
        <v>940</v>
      </c>
      <c r="D248" s="363">
        <f t="shared" si="82"/>
        <v>917</v>
      </c>
      <c r="E248" s="363">
        <f t="shared" si="82"/>
        <v>903</v>
      </c>
      <c r="F248" s="363">
        <f t="shared" si="82"/>
        <v>890</v>
      </c>
      <c r="G248" s="363">
        <f t="shared" si="82"/>
        <v>877.8300211904022</v>
      </c>
      <c r="H248" s="363">
        <f t="shared" si="82"/>
        <v>866.9059808636578</v>
      </c>
      <c r="I248" s="367">
        <v>863.3969682716947</v>
      </c>
      <c r="J248" s="368">
        <v>869.0665244918468</v>
      </c>
      <c r="K248" s="368">
        <v>881.1285827019246</v>
      </c>
      <c r="L248" s="368">
        <v>896.0637263968006</v>
      </c>
      <c r="M248" s="368">
        <v>909.168225465373</v>
      </c>
      <c r="N248" s="368">
        <v>917.8942376901009</v>
      </c>
      <c r="O248" s="368">
        <v>919.7758851301178</v>
      </c>
      <c r="P248" s="368">
        <v>916.2356964486639</v>
      </c>
      <c r="Q248" s="369">
        <v>911.5906679578987</v>
      </c>
    </row>
    <row r="249" spans="1:17" ht="15">
      <c r="A249" s="52">
        <v>25</v>
      </c>
      <c r="B249" s="373">
        <f t="shared" si="82"/>
        <v>996</v>
      </c>
      <c r="C249" s="363">
        <f t="shared" si="82"/>
        <v>966</v>
      </c>
      <c r="D249" s="363">
        <f t="shared" si="82"/>
        <v>940</v>
      </c>
      <c r="E249" s="363">
        <f t="shared" si="82"/>
        <v>917</v>
      </c>
      <c r="F249" s="363">
        <f t="shared" si="82"/>
        <v>902</v>
      </c>
      <c r="G249" s="363">
        <f t="shared" si="82"/>
        <v>889.1639881990883</v>
      </c>
      <c r="H249" s="363">
        <f t="shared" si="82"/>
        <v>876.3390952312886</v>
      </c>
      <c r="I249" s="367">
        <v>865.3926777204662</v>
      </c>
      <c r="J249" s="368">
        <v>861.9222068426609</v>
      </c>
      <c r="K249" s="368">
        <v>867.6140070030094</v>
      </c>
      <c r="L249" s="368">
        <v>879.6875974123761</v>
      </c>
      <c r="M249" s="368">
        <v>894.6298977749057</v>
      </c>
      <c r="N249" s="368">
        <v>907.7447531162361</v>
      </c>
      <c r="O249" s="368">
        <v>916.4879136876616</v>
      </c>
      <c r="P249" s="368">
        <v>918.3966931997179</v>
      </c>
      <c r="Q249" s="369">
        <v>914.8909131288722</v>
      </c>
    </row>
    <row r="250" spans="1:17" ht="15">
      <c r="A250" s="52">
        <v>26</v>
      </c>
      <c r="B250" s="373">
        <f t="shared" si="82"/>
        <v>1026</v>
      </c>
      <c r="C250" s="363">
        <f t="shared" si="82"/>
        <v>996</v>
      </c>
      <c r="D250" s="363">
        <f t="shared" si="82"/>
        <v>966</v>
      </c>
      <c r="E250" s="363">
        <f t="shared" si="82"/>
        <v>939</v>
      </c>
      <c r="F250" s="363">
        <f t="shared" si="82"/>
        <v>916</v>
      </c>
      <c r="G250" s="363">
        <f t="shared" si="82"/>
        <v>899.6457929086671</v>
      </c>
      <c r="H250" s="363">
        <f t="shared" si="82"/>
        <v>886.9593685814477</v>
      </c>
      <c r="I250" s="367">
        <v>874.677912804735</v>
      </c>
      <c r="J250" s="368">
        <v>863.7872684484679</v>
      </c>
      <c r="K250" s="368">
        <v>860.3573131443735</v>
      </c>
      <c r="L250" s="368">
        <v>866.0723522042238</v>
      </c>
      <c r="M250" s="368">
        <v>878.1578215863182</v>
      </c>
      <c r="N250" s="368">
        <v>893.107359503626</v>
      </c>
      <c r="O250" s="368">
        <v>906.232857070952</v>
      </c>
      <c r="P250" s="368">
        <v>914.9938889828977</v>
      </c>
      <c r="Q250" s="369">
        <v>916.9311686007643</v>
      </c>
    </row>
    <row r="251" spans="1:17" ht="15">
      <c r="A251" s="52">
        <v>27</v>
      </c>
      <c r="B251" s="373">
        <f t="shared" si="82"/>
        <v>1045</v>
      </c>
      <c r="C251" s="363">
        <f t="shared" si="82"/>
        <v>1024</v>
      </c>
      <c r="D251" s="363">
        <f t="shared" si="82"/>
        <v>994</v>
      </c>
      <c r="E251" s="363">
        <f t="shared" si="82"/>
        <v>965</v>
      </c>
      <c r="F251" s="363">
        <f t="shared" si="82"/>
        <v>939</v>
      </c>
      <c r="G251" s="363">
        <f t="shared" si="82"/>
        <v>915.829371993203</v>
      </c>
      <c r="H251" s="363">
        <f t="shared" si="82"/>
        <v>897.8082967410205</v>
      </c>
      <c r="I251" s="367">
        <v>885.1539295129351</v>
      </c>
      <c r="J251" s="368">
        <v>872.9353239361358</v>
      </c>
      <c r="K251" s="368">
        <v>862.1027675745152</v>
      </c>
      <c r="L251" s="368">
        <v>858.7149220832191</v>
      </c>
      <c r="M251" s="368">
        <v>864.4539586062431</v>
      </c>
      <c r="N251" s="368">
        <v>876.5515117214486</v>
      </c>
      <c r="O251" s="368">
        <v>891.5082661898546</v>
      </c>
      <c r="P251" s="368">
        <v>904.6445646136996</v>
      </c>
      <c r="Q251" s="369">
        <v>913.424006387434</v>
      </c>
    </row>
    <row r="252" spans="1:17" ht="15">
      <c r="A252" s="52">
        <v>28</v>
      </c>
      <c r="B252" s="373">
        <f t="shared" si="82"/>
        <v>1055</v>
      </c>
      <c r="C252" s="363">
        <f t="shared" si="82"/>
        <v>1045</v>
      </c>
      <c r="D252" s="363">
        <f t="shared" si="82"/>
        <v>1024</v>
      </c>
      <c r="E252" s="363">
        <f t="shared" si="82"/>
        <v>994</v>
      </c>
      <c r="F252" s="363">
        <f aca="true" t="shared" si="83" ref="F252:H252">F92+F172</f>
        <v>964</v>
      </c>
      <c r="G252" s="363">
        <f t="shared" si="83"/>
        <v>938.0988292081372</v>
      </c>
      <c r="H252" s="363">
        <f t="shared" si="83"/>
        <v>913.7753965603388</v>
      </c>
      <c r="I252" s="367">
        <v>895.8616925594574</v>
      </c>
      <c r="J252" s="368">
        <v>883.2753160741238</v>
      </c>
      <c r="K252" s="368">
        <v>871.1216314350738</v>
      </c>
      <c r="L252" s="368">
        <v>860.3490816737158</v>
      </c>
      <c r="M252" s="368">
        <v>857.0046428467434</v>
      </c>
      <c r="N252" s="368">
        <v>862.7682492203028</v>
      </c>
      <c r="O252" s="368">
        <v>874.8779786360558</v>
      </c>
      <c r="P252" s="368">
        <v>889.8418494444433</v>
      </c>
      <c r="Q252" s="369">
        <v>902.9890101632237</v>
      </c>
    </row>
    <row r="253" spans="1:17" ht="15">
      <c r="A253" s="52">
        <v>29</v>
      </c>
      <c r="B253" s="373">
        <f t="shared" si="82"/>
        <v>1063</v>
      </c>
      <c r="C253" s="363">
        <f t="shared" si="82"/>
        <v>1055</v>
      </c>
      <c r="D253" s="363">
        <f aca="true" t="shared" si="84" ref="D253:H253">D93+D173</f>
        <v>1044</v>
      </c>
      <c r="E253" s="363">
        <f t="shared" si="84"/>
        <v>1021.614</v>
      </c>
      <c r="F253" s="363">
        <f t="shared" si="84"/>
        <v>993</v>
      </c>
      <c r="G253" s="363">
        <f t="shared" si="84"/>
        <v>963.3602062520463</v>
      </c>
      <c r="H253" s="363">
        <f t="shared" si="84"/>
        <v>935.5616594323217</v>
      </c>
      <c r="I253" s="367">
        <v>911.6811383768088</v>
      </c>
      <c r="J253" s="368">
        <v>893.8514573241114</v>
      </c>
      <c r="K253" s="368">
        <v>881.3347575159684</v>
      </c>
      <c r="L253" s="368">
        <v>869.2476260260607</v>
      </c>
      <c r="M253" s="368">
        <v>858.5365944699984</v>
      </c>
      <c r="N253" s="368">
        <v>855.2365552735001</v>
      </c>
      <c r="O253" s="368">
        <v>861.0251161599899</v>
      </c>
      <c r="P253" s="368">
        <v>873.1470039814085</v>
      </c>
      <c r="Q253" s="369">
        <v>888.1178147054591</v>
      </c>
    </row>
    <row r="254" spans="1:17" ht="15">
      <c r="A254" s="52">
        <v>30</v>
      </c>
      <c r="B254" s="373">
        <f t="shared" si="82"/>
        <v>1059</v>
      </c>
      <c r="C254" s="363">
        <f t="shared" si="82"/>
        <v>1063</v>
      </c>
      <c r="D254" s="363">
        <f aca="true" t="shared" si="85" ref="D254:H254">D94+D174</f>
        <v>1054</v>
      </c>
      <c r="E254" s="363">
        <f t="shared" si="85"/>
        <v>1044</v>
      </c>
      <c r="F254" s="363">
        <f t="shared" si="85"/>
        <v>1021</v>
      </c>
      <c r="G254" s="363">
        <f t="shared" si="85"/>
        <v>992.2344932398561</v>
      </c>
      <c r="H254" s="363">
        <f t="shared" si="85"/>
        <v>961.0985639924809</v>
      </c>
      <c r="I254" s="367">
        <v>933.3048844958824</v>
      </c>
      <c r="J254" s="368">
        <v>909.5275209451854</v>
      </c>
      <c r="K254" s="368">
        <v>891.7836434526496</v>
      </c>
      <c r="L254" s="368">
        <v>879.3380498166357</v>
      </c>
      <c r="M254" s="368">
        <v>867.3188597074014</v>
      </c>
      <c r="N254" s="368">
        <v>856.6706313791217</v>
      </c>
      <c r="O254" s="368">
        <v>853.4158120964805</v>
      </c>
      <c r="P254" s="368">
        <v>859.2295995645293</v>
      </c>
      <c r="Q254" s="369">
        <v>871.3635550994466</v>
      </c>
    </row>
    <row r="255" spans="1:17" ht="15">
      <c r="A255" s="52">
        <v>31</v>
      </c>
      <c r="B255" s="373">
        <f t="shared" si="82"/>
        <v>1060</v>
      </c>
      <c r="C255" s="363">
        <f t="shared" si="82"/>
        <v>1057</v>
      </c>
      <c r="D255" s="363">
        <f aca="true" t="shared" si="86" ref="D255:H255">D95+D175</f>
        <v>1062</v>
      </c>
      <c r="E255" s="363">
        <f t="shared" si="86"/>
        <v>1053</v>
      </c>
      <c r="F255" s="363">
        <f t="shared" si="86"/>
        <v>1042</v>
      </c>
      <c r="G255" s="363">
        <f t="shared" si="86"/>
        <v>1019.217669469017</v>
      </c>
      <c r="H255" s="363">
        <f t="shared" si="86"/>
        <v>989.6993744713182</v>
      </c>
      <c r="I255" s="367">
        <v>958.6650676505118</v>
      </c>
      <c r="J255" s="368">
        <v>930.99036175483</v>
      </c>
      <c r="K255" s="368">
        <v>907.318128773095</v>
      </c>
      <c r="L255" s="368">
        <v>889.6616512500316</v>
      </c>
      <c r="M255" s="368">
        <v>877.2884359864877</v>
      </c>
      <c r="N255" s="368">
        <v>865.3384259029983</v>
      </c>
      <c r="O255" s="368">
        <v>854.7541469968445</v>
      </c>
      <c r="P255" s="368">
        <v>851.5452590004402</v>
      </c>
      <c r="Q255" s="369">
        <v>857.3844688052179</v>
      </c>
    </row>
    <row r="256" spans="1:17" ht="15">
      <c r="A256" s="52">
        <v>32</v>
      </c>
      <c r="B256" s="373">
        <f t="shared" si="82"/>
        <v>1062</v>
      </c>
      <c r="C256" s="363">
        <f t="shared" si="82"/>
        <v>1058</v>
      </c>
      <c r="D256" s="363">
        <f aca="true" t="shared" si="87" ref="D256:H256">D96+D176</f>
        <v>1056</v>
      </c>
      <c r="E256" s="363">
        <f t="shared" si="87"/>
        <v>1060.612</v>
      </c>
      <c r="F256" s="363">
        <f t="shared" si="87"/>
        <v>1051</v>
      </c>
      <c r="G256" s="363">
        <f t="shared" si="87"/>
        <v>1039.5022305627983</v>
      </c>
      <c r="H256" s="363">
        <f t="shared" si="87"/>
        <v>1016.6472727041355</v>
      </c>
      <c r="I256" s="367">
        <v>987.087500466054</v>
      </c>
      <c r="J256" s="368">
        <v>956.1868693000561</v>
      </c>
      <c r="K256" s="368">
        <v>928.6325960020293</v>
      </c>
      <c r="L256" s="368">
        <v>905.0667755357124</v>
      </c>
      <c r="M256" s="368">
        <v>887.4987156015743</v>
      </c>
      <c r="N256" s="368">
        <v>875.1986670017559</v>
      </c>
      <c r="O256" s="368">
        <v>863.3186134187661</v>
      </c>
      <c r="P256" s="368">
        <v>852.7990025201633</v>
      </c>
      <c r="Q256" s="369">
        <v>849.6364421125869</v>
      </c>
    </row>
    <row r="257" spans="1:17" ht="15">
      <c r="A257" s="52">
        <v>33</v>
      </c>
      <c r="B257" s="373">
        <f t="shared" si="82"/>
        <v>1078</v>
      </c>
      <c r="C257" s="363">
        <f t="shared" si="82"/>
        <v>1061</v>
      </c>
      <c r="D257" s="363">
        <f aca="true" t="shared" si="88" ref="D257:H257">D97+D177</f>
        <v>1057.37</v>
      </c>
      <c r="E257" s="363">
        <f t="shared" si="88"/>
        <v>1054</v>
      </c>
      <c r="F257" s="363">
        <f t="shared" si="88"/>
        <v>1057</v>
      </c>
      <c r="G257" s="363">
        <f t="shared" si="88"/>
        <v>1049.4510023466437</v>
      </c>
      <c r="H257" s="363">
        <f t="shared" si="88"/>
        <v>1036.6187032334942</v>
      </c>
      <c r="I257" s="367">
        <v>1013.8811709676829</v>
      </c>
      <c r="J257" s="368">
        <v>984.4567498392632</v>
      </c>
      <c r="K257" s="368">
        <v>953.6899827190406</v>
      </c>
      <c r="L257" s="368">
        <v>926.256321160288</v>
      </c>
      <c r="M257" s="368">
        <v>902.7970630646557</v>
      </c>
      <c r="N257" s="368">
        <v>885.317494429506</v>
      </c>
      <c r="O257" s="368">
        <v>873.090616175066</v>
      </c>
      <c r="P257" s="368">
        <v>861.2805452027103</v>
      </c>
      <c r="Q257" s="369">
        <v>850.825626941463</v>
      </c>
    </row>
    <row r="258" spans="1:17" ht="15">
      <c r="A258" s="52">
        <v>34</v>
      </c>
      <c r="B258" s="373">
        <f t="shared" si="82"/>
        <v>1097</v>
      </c>
      <c r="C258" s="363">
        <f t="shared" si="82"/>
        <v>1076</v>
      </c>
      <c r="D258" s="363">
        <f aca="true" t="shared" si="89" ref="D258:H258">D98+D178</f>
        <v>1060</v>
      </c>
      <c r="E258" s="363">
        <f t="shared" si="89"/>
        <v>1054</v>
      </c>
      <c r="F258" s="363">
        <f t="shared" si="89"/>
        <v>1052</v>
      </c>
      <c r="G258" s="363">
        <f t="shared" si="89"/>
        <v>1052.5025664473708</v>
      </c>
      <c r="H258" s="363">
        <f t="shared" si="89"/>
        <v>1046.5144608038597</v>
      </c>
      <c r="I258" s="367">
        <v>1033.7390515246516</v>
      </c>
      <c r="J258" s="368">
        <v>1011.1223889500794</v>
      </c>
      <c r="K258" s="368">
        <v>981.8321406119649</v>
      </c>
      <c r="L258" s="368">
        <v>951.1981587870664</v>
      </c>
      <c r="M258" s="368">
        <v>923.8841461218783</v>
      </c>
      <c r="N258" s="368">
        <v>900.5305904002864</v>
      </c>
      <c r="O258" s="368">
        <v>883.1387463270139</v>
      </c>
      <c r="P258" s="368">
        <v>870.9843452286851</v>
      </c>
      <c r="Q258" s="369">
        <v>859.2436156827825</v>
      </c>
    </row>
    <row r="259" spans="1:17" ht="15">
      <c r="A259" s="52">
        <v>35</v>
      </c>
      <c r="B259" s="373">
        <f t="shared" si="82"/>
        <v>1115</v>
      </c>
      <c r="C259" s="363">
        <f t="shared" si="82"/>
        <v>1095</v>
      </c>
      <c r="D259" s="363">
        <f aca="true" t="shared" si="90" ref="D259:H259">D99+D179</f>
        <v>1074</v>
      </c>
      <c r="E259" s="363">
        <f t="shared" si="90"/>
        <v>1058</v>
      </c>
      <c r="F259" s="363">
        <f t="shared" si="90"/>
        <v>1053</v>
      </c>
      <c r="G259" s="363">
        <f t="shared" si="90"/>
        <v>1050.3588340329509</v>
      </c>
      <c r="H259" s="363">
        <f t="shared" si="90"/>
        <v>1049.0654729172563</v>
      </c>
      <c r="I259" s="367">
        <v>1043.5789444022407</v>
      </c>
      <c r="J259" s="368">
        <v>1030.8989172648182</v>
      </c>
      <c r="K259" s="368">
        <v>1008.4006169073784</v>
      </c>
      <c r="L259" s="368">
        <v>979.2419520130723</v>
      </c>
      <c r="M259" s="368">
        <v>948.738279529842</v>
      </c>
      <c r="N259" s="368">
        <v>921.5416939642637</v>
      </c>
      <c r="O259" s="368">
        <v>898.2918680975077</v>
      </c>
      <c r="P259" s="368">
        <v>880.9860582766603</v>
      </c>
      <c r="Q259" s="369">
        <v>868.902677916119</v>
      </c>
    </row>
    <row r="260" spans="1:17" ht="15">
      <c r="A260" s="52">
        <v>36</v>
      </c>
      <c r="B260" s="373">
        <f t="shared" si="82"/>
        <v>1127</v>
      </c>
      <c r="C260" s="363">
        <f t="shared" si="82"/>
        <v>1114</v>
      </c>
      <c r="D260" s="363">
        <f aca="true" t="shared" si="91" ref="D260:H260">D100+D180</f>
        <v>1093</v>
      </c>
      <c r="E260" s="363">
        <f t="shared" si="91"/>
        <v>1072</v>
      </c>
      <c r="F260" s="363">
        <f t="shared" si="91"/>
        <v>1057</v>
      </c>
      <c r="G260" s="363">
        <f t="shared" si="91"/>
        <v>1050.0306782167663</v>
      </c>
      <c r="H260" s="363">
        <f t="shared" si="91"/>
        <v>1047.4620500661545</v>
      </c>
      <c r="I260" s="367">
        <v>1046.0831085016289</v>
      </c>
      <c r="J260" s="368">
        <v>1040.6730368175613</v>
      </c>
      <c r="K260" s="368">
        <v>1028.086542521114</v>
      </c>
      <c r="L260" s="368">
        <v>1005.7046137195589</v>
      </c>
      <c r="M260" s="368">
        <v>976.6755074242894</v>
      </c>
      <c r="N260" s="368">
        <v>946.3002221146127</v>
      </c>
      <c r="O260" s="368">
        <v>919.2193390532098</v>
      </c>
      <c r="P260" s="368">
        <v>896.0717090457645</v>
      </c>
      <c r="Q260" s="369">
        <v>878.8506080025991</v>
      </c>
    </row>
    <row r="261" spans="1:17" ht="15">
      <c r="A261" s="52">
        <v>37</v>
      </c>
      <c r="B261" s="373">
        <f t="shared" si="82"/>
        <v>1133</v>
      </c>
      <c r="C261" s="363">
        <f t="shared" si="82"/>
        <v>1126</v>
      </c>
      <c r="D261" s="363">
        <f aca="true" t="shared" si="92" ref="D261:H261">D101+D181</f>
        <v>1113</v>
      </c>
      <c r="E261" s="363">
        <f t="shared" si="92"/>
        <v>1091</v>
      </c>
      <c r="F261" s="363">
        <f t="shared" si="92"/>
        <v>1070</v>
      </c>
      <c r="G261" s="363">
        <f t="shared" si="92"/>
        <v>1055.344554572819</v>
      </c>
      <c r="H261" s="363">
        <f t="shared" si="92"/>
        <v>1047.367647663995</v>
      </c>
      <c r="I261" s="367">
        <v>1044.4071529551354</v>
      </c>
      <c r="J261" s="368">
        <v>1043.0945781225141</v>
      </c>
      <c r="K261" s="368">
        <v>1037.7602005251867</v>
      </c>
      <c r="L261" s="368">
        <v>1025.2665840429988</v>
      </c>
      <c r="M261" s="368">
        <v>1003.0005095846648</v>
      </c>
      <c r="N261" s="368">
        <v>974.1005694420994</v>
      </c>
      <c r="O261" s="368">
        <v>943.8533622515465</v>
      </c>
      <c r="P261" s="368">
        <v>916.887909032961</v>
      </c>
      <c r="Q261" s="369">
        <v>893.84222273313</v>
      </c>
    </row>
    <row r="262" spans="1:17" ht="15">
      <c r="A262" s="52">
        <v>38</v>
      </c>
      <c r="B262" s="373">
        <f t="shared" si="82"/>
        <v>1123</v>
      </c>
      <c r="C262" s="363">
        <f t="shared" si="82"/>
        <v>1132</v>
      </c>
      <c r="D262" s="363">
        <f aca="true" t="shared" si="93" ref="D262:H262">D102+D182</f>
        <v>1125</v>
      </c>
      <c r="E262" s="363">
        <f t="shared" si="93"/>
        <v>1110</v>
      </c>
      <c r="F262" s="363">
        <f t="shared" si="93"/>
        <v>1088</v>
      </c>
      <c r="G262" s="363">
        <f t="shared" si="93"/>
        <v>1067.7669033450666</v>
      </c>
      <c r="H262" s="363">
        <f t="shared" si="93"/>
        <v>1052.2448321239367</v>
      </c>
      <c r="I262" s="367">
        <v>1044.2265629260228</v>
      </c>
      <c r="J262" s="368">
        <v>1041.3384786873937</v>
      </c>
      <c r="K262" s="368">
        <v>1040.0916037620282</v>
      </c>
      <c r="L262" s="368">
        <v>1034.8323606496701</v>
      </c>
      <c r="M262" s="368">
        <v>1022.4312199200831</v>
      </c>
      <c r="N262" s="368">
        <v>1000.2808033462991</v>
      </c>
      <c r="O262" s="368">
        <v>971.5099981663423</v>
      </c>
      <c r="P262" s="368">
        <v>941.3909202730349</v>
      </c>
      <c r="Q262" s="369">
        <v>914.5409491522695</v>
      </c>
    </row>
    <row r="263" spans="1:17" ht="15">
      <c r="A263" s="52">
        <v>39</v>
      </c>
      <c r="B263" s="373">
        <f t="shared" si="82"/>
        <v>1105</v>
      </c>
      <c r="C263" s="363">
        <f t="shared" si="82"/>
        <v>1122</v>
      </c>
      <c r="D263" s="363">
        <f aca="true" t="shared" si="94" ref="D263:H263">D103+D183</f>
        <v>1129</v>
      </c>
      <c r="E263" s="363">
        <f t="shared" si="94"/>
        <v>1122</v>
      </c>
      <c r="F263" s="363">
        <f t="shared" si="94"/>
        <v>1108</v>
      </c>
      <c r="G263" s="363">
        <f t="shared" si="94"/>
        <v>1085.6064718668586</v>
      </c>
      <c r="H263" s="363">
        <f t="shared" si="94"/>
        <v>1064.8605609579345</v>
      </c>
      <c r="I263" s="367">
        <v>1048.994418459711</v>
      </c>
      <c r="J263" s="368">
        <v>1041.0657485366041</v>
      </c>
      <c r="K263" s="368">
        <v>1038.24951958327</v>
      </c>
      <c r="L263" s="368">
        <v>1037.067805556053</v>
      </c>
      <c r="M263" s="368">
        <v>1031.8832860792322</v>
      </c>
      <c r="N263" s="368">
        <v>1019.5744078284381</v>
      </c>
      <c r="O263" s="368">
        <v>997.5396962005116</v>
      </c>
      <c r="P263" s="368">
        <v>968.8982717633592</v>
      </c>
      <c r="Q263" s="369">
        <v>938.9076519408757</v>
      </c>
    </row>
    <row r="264" spans="1:17" ht="15">
      <c r="A264" s="52">
        <v>40</v>
      </c>
      <c r="B264" s="373">
        <f t="shared" si="82"/>
        <v>1086</v>
      </c>
      <c r="C264" s="363">
        <f t="shared" si="82"/>
        <v>1104</v>
      </c>
      <c r="D264" s="363">
        <f aca="true" t="shared" si="95" ref="D264:H264">D104+D184</f>
        <v>1120</v>
      </c>
      <c r="E264" s="363">
        <f t="shared" si="95"/>
        <v>1127</v>
      </c>
      <c r="F264" s="363">
        <f t="shared" si="95"/>
        <v>1120</v>
      </c>
      <c r="G264" s="363">
        <f t="shared" si="95"/>
        <v>1103.716095769308</v>
      </c>
      <c r="H264" s="363">
        <f t="shared" si="95"/>
        <v>1082.0231343305647</v>
      </c>
      <c r="I264" s="367">
        <v>1061.4665703240826</v>
      </c>
      <c r="J264" s="368">
        <v>1045.717498743729</v>
      </c>
      <c r="K264" s="368">
        <v>1037.8781068164408</v>
      </c>
      <c r="L264" s="368">
        <v>1035.1333277612325</v>
      </c>
      <c r="M264" s="368">
        <v>1034.0163687432569</v>
      </c>
      <c r="N264" s="368">
        <v>1028.906316885868</v>
      </c>
      <c r="O264" s="368">
        <v>1016.6896839429869</v>
      </c>
      <c r="P264" s="368">
        <v>994.7709766431905</v>
      </c>
      <c r="Q264" s="369">
        <v>966.2594650995716</v>
      </c>
    </row>
    <row r="265" spans="1:17" ht="15">
      <c r="A265" s="52">
        <v>41</v>
      </c>
      <c r="B265" s="373">
        <f t="shared" si="82"/>
        <v>1064</v>
      </c>
      <c r="C265" s="363">
        <f t="shared" si="82"/>
        <v>1084</v>
      </c>
      <c r="D265" s="363">
        <f aca="true" t="shared" si="96" ref="D265:H265">D105+D185</f>
        <v>1102</v>
      </c>
      <c r="E265" s="363">
        <f t="shared" si="96"/>
        <v>1118</v>
      </c>
      <c r="F265" s="363">
        <f t="shared" si="96"/>
        <v>1124</v>
      </c>
      <c r="G265" s="363">
        <f t="shared" si="96"/>
        <v>1115.934675583601</v>
      </c>
      <c r="H265" s="363">
        <f t="shared" si="96"/>
        <v>1099.6735237766984</v>
      </c>
      <c r="I265" s="367">
        <v>1078.454664615262</v>
      </c>
      <c r="J265" s="368">
        <v>1058.0349592459559</v>
      </c>
      <c r="K265" s="368">
        <v>1042.4031559441432</v>
      </c>
      <c r="L265" s="368">
        <v>1034.6530022464701</v>
      </c>
      <c r="M265" s="368">
        <v>1031.9794885227475</v>
      </c>
      <c r="N265" s="368">
        <v>1030.9270761553034</v>
      </c>
      <c r="O265" s="368">
        <v>1025.8914654502291</v>
      </c>
      <c r="P265" s="368">
        <v>1013.7673498695985</v>
      </c>
      <c r="Q265" s="369">
        <v>991.9653160389275</v>
      </c>
    </row>
    <row r="266" spans="1:17" ht="15">
      <c r="A266" s="52">
        <v>42</v>
      </c>
      <c r="B266" s="373">
        <f t="shared" si="82"/>
        <v>1037</v>
      </c>
      <c r="C266" s="363">
        <f t="shared" si="82"/>
        <v>1062</v>
      </c>
      <c r="D266" s="363">
        <f aca="true" t="shared" si="97" ref="D266:H266">D106+D186</f>
        <v>1082</v>
      </c>
      <c r="E266" s="363">
        <f t="shared" si="97"/>
        <v>1100</v>
      </c>
      <c r="F266" s="363">
        <f t="shared" si="97"/>
        <v>1115</v>
      </c>
      <c r="G266" s="363">
        <f t="shared" si="97"/>
        <v>1119.5095218760148</v>
      </c>
      <c r="H266" s="363">
        <f t="shared" si="97"/>
        <v>1111.8502923490573</v>
      </c>
      <c r="I266" s="367">
        <v>1095.9056757518947</v>
      </c>
      <c r="J266" s="368">
        <v>1074.8319797050501</v>
      </c>
      <c r="K266" s="368">
        <v>1054.550041471204</v>
      </c>
      <c r="L266" s="368">
        <v>1039.0362123845168</v>
      </c>
      <c r="M266" s="368">
        <v>1031.3756372764976</v>
      </c>
      <c r="N266" s="368">
        <v>1028.7735018606927</v>
      </c>
      <c r="O266" s="368">
        <v>1027.7856943762167</v>
      </c>
      <c r="P266" s="368">
        <v>1022.824810682082</v>
      </c>
      <c r="Q266" s="369">
        <v>1010.7938809234493</v>
      </c>
    </row>
    <row r="267" spans="1:17" ht="15">
      <c r="A267" s="52">
        <v>43</v>
      </c>
      <c r="B267" s="373">
        <f t="shared" si="82"/>
        <v>1019</v>
      </c>
      <c r="C267" s="363">
        <f t="shared" si="82"/>
        <v>1035</v>
      </c>
      <c r="D267" s="363">
        <f aca="true" t="shared" si="98" ref="D267:H267">D107+D187</f>
        <v>1060</v>
      </c>
      <c r="E267" s="363">
        <f t="shared" si="98"/>
        <v>1080</v>
      </c>
      <c r="F267" s="363">
        <f t="shared" si="98"/>
        <v>1097</v>
      </c>
      <c r="G267" s="363">
        <f t="shared" si="98"/>
        <v>1110.8376197943462</v>
      </c>
      <c r="H267" s="363">
        <f t="shared" si="98"/>
        <v>1115.2563429645836</v>
      </c>
      <c r="I267" s="367">
        <v>1107.8734106997813</v>
      </c>
      <c r="J267" s="368">
        <v>1092.062420232713</v>
      </c>
      <c r="K267" s="368">
        <v>1071.135528107487</v>
      </c>
      <c r="L267" s="368">
        <v>1050.9929653642782</v>
      </c>
      <c r="M267" s="368">
        <v>1035.5984105174261</v>
      </c>
      <c r="N267" s="368">
        <v>1028.0281954664965</v>
      </c>
      <c r="O267" s="368">
        <v>1025.4978942886714</v>
      </c>
      <c r="P267" s="368">
        <v>1024.5750567571945</v>
      </c>
      <c r="Q267" s="369">
        <v>1019.6895493515885</v>
      </c>
    </row>
    <row r="268" spans="1:17" ht="15">
      <c r="A268" s="52">
        <v>44</v>
      </c>
      <c r="B268" s="373">
        <f t="shared" si="82"/>
        <v>992</v>
      </c>
      <c r="C268" s="363">
        <f t="shared" si="82"/>
        <v>1016</v>
      </c>
      <c r="D268" s="363">
        <f aca="true" t="shared" si="99" ref="D268:H268">D108+D188</f>
        <v>1034</v>
      </c>
      <c r="E268" s="363">
        <f t="shared" si="99"/>
        <v>1058</v>
      </c>
      <c r="F268" s="363">
        <f t="shared" si="99"/>
        <v>1077</v>
      </c>
      <c r="G268" s="363">
        <f t="shared" si="99"/>
        <v>1093.214124413334</v>
      </c>
      <c r="H268" s="363">
        <f t="shared" si="99"/>
        <v>1106.8757233232018</v>
      </c>
      <c r="I268" s="367">
        <v>1111.0719435899491</v>
      </c>
      <c r="J268" s="368">
        <v>1103.7977112949616</v>
      </c>
      <c r="K268" s="368">
        <v>1088.122285653945</v>
      </c>
      <c r="L268" s="368">
        <v>1067.3445945959684</v>
      </c>
      <c r="M268" s="368">
        <v>1047.3437336118534</v>
      </c>
      <c r="N268" s="368">
        <v>1032.0703610053802</v>
      </c>
      <c r="O268" s="368">
        <v>1024.5917348154726</v>
      </c>
      <c r="P268" s="368">
        <v>1022.1340682184435</v>
      </c>
      <c r="Q268" s="369">
        <v>1021.2768728806357</v>
      </c>
    </row>
    <row r="269" spans="1:17" ht="15">
      <c r="A269" s="52">
        <v>45</v>
      </c>
      <c r="B269" s="373">
        <f t="shared" si="82"/>
        <v>962</v>
      </c>
      <c r="C269" s="363">
        <f t="shared" si="82"/>
        <v>989</v>
      </c>
      <c r="D269" s="363">
        <f aca="true" t="shared" si="100" ref="D269:H269">D109+D189</f>
        <v>1013</v>
      </c>
      <c r="E269" s="363">
        <f t="shared" si="100"/>
        <v>1030</v>
      </c>
      <c r="F269" s="363">
        <f t="shared" si="100"/>
        <v>1054</v>
      </c>
      <c r="G269" s="363">
        <f t="shared" si="100"/>
        <v>1072.565442391203</v>
      </c>
      <c r="H269" s="363">
        <f t="shared" si="100"/>
        <v>1089.1518389054434</v>
      </c>
      <c r="I269" s="367">
        <v>1102.5024461640153</v>
      </c>
      <c r="J269" s="368">
        <v>1106.767420688127</v>
      </c>
      <c r="K269" s="368">
        <v>1099.6034950134604</v>
      </c>
      <c r="L269" s="368">
        <v>1084.066142145774</v>
      </c>
      <c r="M269" s="368">
        <v>1063.4406896135206</v>
      </c>
      <c r="N269" s="368">
        <v>1043.5844655265469</v>
      </c>
      <c r="O269" s="368">
        <v>1028.4346961410818</v>
      </c>
      <c r="P269" s="368">
        <v>1021.049258510257</v>
      </c>
      <c r="Q269" s="369">
        <v>1018.6653068138253</v>
      </c>
    </row>
    <row r="270" spans="1:17" ht="15">
      <c r="A270" s="52">
        <v>46</v>
      </c>
      <c r="B270" s="373">
        <f t="shared" si="82"/>
        <v>930</v>
      </c>
      <c r="C270" s="363">
        <f t="shared" si="82"/>
        <v>959</v>
      </c>
      <c r="D270" s="363">
        <f aca="true" t="shared" si="101" ref="D270:H270">D110+D190</f>
        <v>985</v>
      </c>
      <c r="E270" s="363">
        <f t="shared" si="101"/>
        <v>1010</v>
      </c>
      <c r="F270" s="363">
        <f t="shared" si="101"/>
        <v>1028</v>
      </c>
      <c r="G270" s="363">
        <f t="shared" si="101"/>
        <v>1050.592475751107</v>
      </c>
      <c r="H270" s="363">
        <f t="shared" si="101"/>
        <v>1067.606983617911</v>
      </c>
      <c r="I270" s="367">
        <v>1084.6074179382795</v>
      </c>
      <c r="J270" s="368">
        <v>1097.9913635393318</v>
      </c>
      <c r="K270" s="368">
        <v>1102.325603376484</v>
      </c>
      <c r="L270" s="368">
        <v>1095.273922814867</v>
      </c>
      <c r="M270" s="368">
        <v>1079.8775995170697</v>
      </c>
      <c r="N270" s="368">
        <v>1059.4079358415004</v>
      </c>
      <c r="O270" s="368">
        <v>1039.699772542401</v>
      </c>
      <c r="P270" s="368">
        <v>1024.6764359804938</v>
      </c>
      <c r="Q270" s="369">
        <v>1017.3860744042427</v>
      </c>
    </row>
    <row r="271" spans="1:17" ht="15">
      <c r="A271" s="52">
        <v>47</v>
      </c>
      <c r="B271" s="373">
        <f t="shared" si="82"/>
        <v>903</v>
      </c>
      <c r="C271" s="363">
        <f t="shared" si="82"/>
        <v>927</v>
      </c>
      <c r="D271" s="363">
        <f aca="true" t="shared" si="102" ref="D271:H271">D111+D191</f>
        <v>956</v>
      </c>
      <c r="E271" s="363">
        <f t="shared" si="102"/>
        <v>982</v>
      </c>
      <c r="F271" s="363">
        <f t="shared" si="102"/>
        <v>1007</v>
      </c>
      <c r="G271" s="363">
        <f t="shared" si="102"/>
        <v>1025.4457411920107</v>
      </c>
      <c r="H271" s="363">
        <f t="shared" si="102"/>
        <v>1045.432263140415</v>
      </c>
      <c r="I271" s="367">
        <v>1062.8905931044062</v>
      </c>
      <c r="J271" s="368">
        <v>1079.9080536143524</v>
      </c>
      <c r="K271" s="368">
        <v>1093.3246785229157</v>
      </c>
      <c r="L271" s="368">
        <v>1097.7288370119447</v>
      </c>
      <c r="M271" s="368">
        <v>1090.7916579431487</v>
      </c>
      <c r="N271" s="368">
        <v>1075.5397612282422</v>
      </c>
      <c r="O271" s="368">
        <v>1055.229944902409</v>
      </c>
      <c r="P271" s="368">
        <v>1035.6737513408375</v>
      </c>
      <c r="Q271" s="369">
        <v>1020.7800809578207</v>
      </c>
    </row>
    <row r="272" spans="1:17" ht="15">
      <c r="A272" s="52">
        <v>48</v>
      </c>
      <c r="B272" s="373">
        <f t="shared" si="82"/>
        <v>872</v>
      </c>
      <c r="C272" s="363">
        <f t="shared" si="82"/>
        <v>899</v>
      </c>
      <c r="D272" s="363">
        <f aca="true" t="shared" si="103" ref="D272:H272">D112+D192</f>
        <v>923</v>
      </c>
      <c r="E272" s="363">
        <f t="shared" si="103"/>
        <v>953</v>
      </c>
      <c r="F272" s="363">
        <f t="shared" si="103"/>
        <v>978</v>
      </c>
      <c r="G272" s="363">
        <f t="shared" si="103"/>
        <v>1000.5757868240834</v>
      </c>
      <c r="H272" s="363">
        <f t="shared" si="103"/>
        <v>1021.009248837782</v>
      </c>
      <c r="I272" s="367">
        <v>1040.5294762937833</v>
      </c>
      <c r="J272" s="368">
        <v>1058.0009714857565</v>
      </c>
      <c r="K272" s="368">
        <v>1075.034150471076</v>
      </c>
      <c r="L272" s="368">
        <v>1088.482777259802</v>
      </c>
      <c r="M272" s="368">
        <v>1092.957648354144</v>
      </c>
      <c r="N272" s="368">
        <v>1086.1375625225314</v>
      </c>
      <c r="O272" s="368">
        <v>1071.0339610188307</v>
      </c>
      <c r="P272" s="368">
        <v>1050.888598487029</v>
      </c>
      <c r="Q272" s="369">
        <v>1031.4888072531348</v>
      </c>
    </row>
    <row r="273" spans="1:17" ht="15">
      <c r="A273" s="52">
        <v>49</v>
      </c>
      <c r="B273" s="373">
        <f t="shared" si="82"/>
        <v>840</v>
      </c>
      <c r="C273" s="363">
        <f t="shared" si="82"/>
        <v>868</v>
      </c>
      <c r="D273" s="363">
        <f aca="true" t="shared" si="104" ref="D273:H273">D113+D193</f>
        <v>897</v>
      </c>
      <c r="E273" s="363">
        <f t="shared" si="104"/>
        <v>919</v>
      </c>
      <c r="F273" s="363">
        <f t="shared" si="104"/>
        <v>948</v>
      </c>
      <c r="G273" s="363">
        <f t="shared" si="104"/>
        <v>973.0191289616407</v>
      </c>
      <c r="H273" s="363">
        <f t="shared" si="104"/>
        <v>995.1783040157022</v>
      </c>
      <c r="I273" s="367">
        <v>1015.9135435703774</v>
      </c>
      <c r="J273" s="368">
        <v>1035.4345116208542</v>
      </c>
      <c r="K273" s="368">
        <v>1052.9176113139117</v>
      </c>
      <c r="L273" s="368">
        <v>1069.9650870806984</v>
      </c>
      <c r="M273" s="368">
        <v>1083.4449935400964</v>
      </c>
      <c r="N273" s="368">
        <v>1087.9914948314504</v>
      </c>
      <c r="O273" s="368">
        <v>1081.2914243030282</v>
      </c>
      <c r="P273" s="368">
        <v>1066.3404624154946</v>
      </c>
      <c r="Q273" s="369">
        <v>1046.3647183316934</v>
      </c>
    </row>
    <row r="274" spans="1:17" ht="15">
      <c r="A274" s="52">
        <v>50</v>
      </c>
      <c r="B274" s="373">
        <f t="shared" si="82"/>
        <v>812</v>
      </c>
      <c r="C274" s="363">
        <f t="shared" si="82"/>
        <v>838</v>
      </c>
      <c r="D274" s="363">
        <f aca="true" t="shared" si="105" ref="D274:H274">D114+D194</f>
        <v>865</v>
      </c>
      <c r="E274" s="363">
        <f t="shared" si="105"/>
        <v>892</v>
      </c>
      <c r="F274" s="363">
        <f t="shared" si="105"/>
        <v>915</v>
      </c>
      <c r="G274" s="363">
        <f t="shared" si="105"/>
        <v>944.0428048624863</v>
      </c>
      <c r="H274" s="363">
        <f t="shared" si="105"/>
        <v>968.0206045999907</v>
      </c>
      <c r="I274" s="367">
        <v>989.8794630410397</v>
      </c>
      <c r="J274" s="368">
        <v>1010.6055754893334</v>
      </c>
      <c r="K274" s="368">
        <v>1030.1250772021294</v>
      </c>
      <c r="L274" s="368">
        <v>1047.6180643519847</v>
      </c>
      <c r="M274" s="368">
        <v>1064.678269948648</v>
      </c>
      <c r="N274" s="368">
        <v>1078.1886648574925</v>
      </c>
      <c r="O274" s="368">
        <v>1082.807830019175</v>
      </c>
      <c r="P274" s="368">
        <v>1076.2310403612787</v>
      </c>
      <c r="Q274" s="369">
        <v>1061.4375666857113</v>
      </c>
    </row>
    <row r="275" spans="1:17" ht="15">
      <c r="A275" s="52">
        <v>51</v>
      </c>
      <c r="B275" s="373">
        <f t="shared" si="82"/>
        <v>789</v>
      </c>
      <c r="C275" s="363">
        <f t="shared" si="82"/>
        <v>809</v>
      </c>
      <c r="D275" s="363">
        <f aca="true" t="shared" si="106" ref="D275:H275">D115+D195</f>
        <v>836</v>
      </c>
      <c r="E275" s="363">
        <f t="shared" si="106"/>
        <v>860</v>
      </c>
      <c r="F275" s="363">
        <f t="shared" si="106"/>
        <v>887</v>
      </c>
      <c r="G275" s="363">
        <f t="shared" si="106"/>
        <v>912.0425961806186</v>
      </c>
      <c r="H275" s="363">
        <f t="shared" si="106"/>
        <v>938.1739026882055</v>
      </c>
      <c r="I275" s="367">
        <v>962.5084738932874</v>
      </c>
      <c r="J275" s="368">
        <v>984.3473652618725</v>
      </c>
      <c r="K275" s="368">
        <v>1005.0615360038896</v>
      </c>
      <c r="L275" s="368">
        <v>1024.5771193233163</v>
      </c>
      <c r="M275" s="368">
        <v>1042.078081691906</v>
      </c>
      <c r="N275" s="368">
        <v>1059.1492674192714</v>
      </c>
      <c r="O275" s="368">
        <v>1072.6892597248461</v>
      </c>
      <c r="P275" s="368">
        <v>1077.3822235505008</v>
      </c>
      <c r="Q275" s="369">
        <v>1070.9323287826683</v>
      </c>
    </row>
    <row r="276" spans="1:17" ht="15">
      <c r="A276" s="52">
        <v>52</v>
      </c>
      <c r="B276" s="373">
        <f t="shared" si="82"/>
        <v>750</v>
      </c>
      <c r="C276" s="363">
        <f t="shared" si="82"/>
        <v>784</v>
      </c>
      <c r="D276" s="363">
        <f aca="true" t="shared" si="107" ref="D276:H276">D116+D196</f>
        <v>806</v>
      </c>
      <c r="E276" s="363">
        <f t="shared" si="107"/>
        <v>833</v>
      </c>
      <c r="F276" s="363">
        <f t="shared" si="107"/>
        <v>856</v>
      </c>
      <c r="G276" s="363">
        <f t="shared" si="107"/>
        <v>881.3349389385247</v>
      </c>
      <c r="H276" s="363">
        <f t="shared" si="107"/>
        <v>906.4080787966282</v>
      </c>
      <c r="I276" s="367">
        <v>932.4484129452744</v>
      </c>
      <c r="J276" s="368">
        <v>956.7423268954723</v>
      </c>
      <c r="K276" s="368">
        <v>978.557723211308</v>
      </c>
      <c r="L276" s="368">
        <v>999.2568112905974</v>
      </c>
      <c r="M276" s="368">
        <v>1018.7657307494158</v>
      </c>
      <c r="N276" s="368">
        <v>1036.2725148353368</v>
      </c>
      <c r="O276" s="368">
        <v>1053.3527030968726</v>
      </c>
      <c r="P276" s="368">
        <v>1066.921260707693</v>
      </c>
      <c r="Q276" s="369">
        <v>1071.6892273532092</v>
      </c>
    </row>
    <row r="277" spans="1:17" ht="15">
      <c r="A277" s="52">
        <v>53</v>
      </c>
      <c r="B277" s="373">
        <f t="shared" si="82"/>
        <v>708</v>
      </c>
      <c r="C277" s="363">
        <f t="shared" si="82"/>
        <v>748</v>
      </c>
      <c r="D277" s="363">
        <f aca="true" t="shared" si="108" ref="D277:H277">D117+D197</f>
        <v>782</v>
      </c>
      <c r="E277" s="363">
        <f t="shared" si="108"/>
        <v>804</v>
      </c>
      <c r="F277" s="363">
        <f t="shared" si="108"/>
        <v>827.8389999999999</v>
      </c>
      <c r="G277" s="363">
        <f t="shared" si="108"/>
        <v>851.4147675952521</v>
      </c>
      <c r="H277" s="363">
        <f t="shared" si="108"/>
        <v>875.2121376082691</v>
      </c>
      <c r="I277" s="367">
        <v>900.467670064503</v>
      </c>
      <c r="J277" s="368">
        <v>926.4484193891672</v>
      </c>
      <c r="K277" s="368">
        <v>950.6969012227348</v>
      </c>
      <c r="L277" s="368">
        <v>972.4848599641219</v>
      </c>
      <c r="M277" s="368">
        <v>993.1653433249394</v>
      </c>
      <c r="N277" s="368">
        <v>1012.6645074100196</v>
      </c>
      <c r="O277" s="368">
        <v>1030.1746692650777</v>
      </c>
      <c r="P277" s="368">
        <v>1047.2616065221646</v>
      </c>
      <c r="Q277" s="369">
        <v>1060.8575143337061</v>
      </c>
    </row>
    <row r="278" spans="1:17" ht="15">
      <c r="A278" s="52">
        <v>54</v>
      </c>
      <c r="B278" s="373">
        <f t="shared" si="82"/>
        <v>664</v>
      </c>
      <c r="C278" s="363">
        <f t="shared" si="82"/>
        <v>706</v>
      </c>
      <c r="D278" s="363">
        <f aca="true" t="shared" si="109" ref="D278:H278">D118+D198</f>
        <v>745</v>
      </c>
      <c r="E278" s="363">
        <f t="shared" si="109"/>
        <v>777</v>
      </c>
      <c r="F278" s="363">
        <f t="shared" si="109"/>
        <v>800</v>
      </c>
      <c r="G278" s="363">
        <f t="shared" si="109"/>
        <v>822.8427597447255</v>
      </c>
      <c r="H278" s="363">
        <f t="shared" si="109"/>
        <v>845.5268282670017</v>
      </c>
      <c r="I278" s="367">
        <v>869.0407745713972</v>
      </c>
      <c r="J278" s="368">
        <v>894.2323591362529</v>
      </c>
      <c r="K278" s="368">
        <v>920.1475055519941</v>
      </c>
      <c r="L278" s="368">
        <v>944.3452288048132</v>
      </c>
      <c r="M278" s="368">
        <v>966.101330352391</v>
      </c>
      <c r="N278" s="368">
        <v>986.7592455389356</v>
      </c>
      <c r="O278" s="368">
        <v>1006.2451588513038</v>
      </c>
      <c r="P278" s="368">
        <v>1023.7559102889592</v>
      </c>
      <c r="Q278" s="369">
        <v>1040.8470144452174</v>
      </c>
    </row>
    <row r="279" spans="1:17" ht="15">
      <c r="A279" s="52">
        <v>55</v>
      </c>
      <c r="B279" s="373">
        <f t="shared" si="82"/>
        <v>628</v>
      </c>
      <c r="C279" s="363">
        <f t="shared" si="82"/>
        <v>661</v>
      </c>
      <c r="D279" s="363">
        <f aca="true" t="shared" si="110" ref="D279:H279">D119+D199</f>
        <v>704</v>
      </c>
      <c r="E279" s="363">
        <f t="shared" si="110"/>
        <v>741</v>
      </c>
      <c r="F279" s="363">
        <f t="shared" si="110"/>
        <v>772</v>
      </c>
      <c r="G279" s="363">
        <f t="shared" si="110"/>
        <v>794.6839110740354</v>
      </c>
      <c r="H279" s="363">
        <f t="shared" si="110"/>
        <v>816.5062558115412</v>
      </c>
      <c r="I279" s="367">
        <v>839.0891474153434</v>
      </c>
      <c r="J279" s="368">
        <v>862.541608708603</v>
      </c>
      <c r="K279" s="368">
        <v>887.662527722187</v>
      </c>
      <c r="L279" s="368">
        <v>913.5052315856055</v>
      </c>
      <c r="M279" s="368">
        <v>937.6461346900073</v>
      </c>
      <c r="N279" s="368">
        <v>959.3653403693475</v>
      </c>
      <c r="O279" s="368">
        <v>979.9961609133459</v>
      </c>
      <c r="P279" s="368">
        <v>999.4648232179179</v>
      </c>
      <c r="Q279" s="369">
        <v>1016.9729621687875</v>
      </c>
    </row>
    <row r="280" spans="1:17" ht="15">
      <c r="A280" s="52">
        <v>56</v>
      </c>
      <c r="B280" s="373">
        <f t="shared" si="82"/>
        <v>578</v>
      </c>
      <c r="C280" s="363">
        <f t="shared" si="82"/>
        <v>623</v>
      </c>
      <c r="D280" s="363">
        <f aca="true" t="shared" si="111" ref="D280:H280">D120+D200</f>
        <v>657</v>
      </c>
      <c r="E280" s="363">
        <f t="shared" si="111"/>
        <v>698.47</v>
      </c>
      <c r="F280" s="363">
        <f t="shared" si="111"/>
        <v>736</v>
      </c>
      <c r="G280" s="363">
        <f t="shared" si="111"/>
        <v>765.5668589159072</v>
      </c>
      <c r="H280" s="363">
        <f t="shared" si="111"/>
        <v>788.241936422042</v>
      </c>
      <c r="I280" s="367">
        <v>809.7706852819863</v>
      </c>
      <c r="J280" s="368">
        <v>832.2887241604209</v>
      </c>
      <c r="K280" s="368">
        <v>855.6726173734198</v>
      </c>
      <c r="L280" s="368">
        <v>880.7152299315458</v>
      </c>
      <c r="M280" s="368">
        <v>906.4777049526344</v>
      </c>
      <c r="N280" s="368">
        <v>930.5548725754677</v>
      </c>
      <c r="O280" s="368">
        <v>952.2314153990776</v>
      </c>
      <c r="P280" s="368">
        <v>972.8299471617485</v>
      </c>
      <c r="Q280" s="369">
        <v>992.2767537445014</v>
      </c>
    </row>
    <row r="281" spans="1:17" ht="15">
      <c r="A281" s="52">
        <v>57</v>
      </c>
      <c r="B281" s="373">
        <f t="shared" si="82"/>
        <v>544</v>
      </c>
      <c r="C281" s="363">
        <f t="shared" si="82"/>
        <v>573</v>
      </c>
      <c r="D281" s="363">
        <f aca="true" t="shared" si="112" ref="D281:H281">D121+D201</f>
        <v>617</v>
      </c>
      <c r="E281" s="363">
        <f t="shared" si="112"/>
        <v>654</v>
      </c>
      <c r="F281" s="363">
        <f t="shared" si="112"/>
        <v>693.983</v>
      </c>
      <c r="G281" s="363">
        <f t="shared" si="112"/>
        <v>730.8740609109316</v>
      </c>
      <c r="H281" s="363">
        <f t="shared" si="112"/>
        <v>758.2024608907901</v>
      </c>
      <c r="I281" s="367">
        <v>781.2183926360938</v>
      </c>
      <c r="J281" s="368">
        <v>802.6801621317707</v>
      </c>
      <c r="K281" s="368">
        <v>825.1259996974456</v>
      </c>
      <c r="L281" s="368">
        <v>848.4337412064779</v>
      </c>
      <c r="M281" s="368">
        <v>873.3898925695134</v>
      </c>
      <c r="N281" s="368">
        <v>899.0638247802244</v>
      </c>
      <c r="O281" s="368">
        <v>923.0698040466424</v>
      </c>
      <c r="P281" s="368">
        <v>944.6973750785886</v>
      </c>
      <c r="Q281" s="369">
        <v>965.2578787480047</v>
      </c>
    </row>
    <row r="282" spans="1:17" ht="15">
      <c r="A282" s="52">
        <v>58</v>
      </c>
      <c r="B282" s="373">
        <f t="shared" si="82"/>
        <v>513</v>
      </c>
      <c r="C282" s="363">
        <f t="shared" si="82"/>
        <v>538</v>
      </c>
      <c r="D282" s="363">
        <f aca="true" t="shared" si="113" ref="D282:H282">D122+D202</f>
        <v>568</v>
      </c>
      <c r="E282" s="363">
        <f t="shared" si="113"/>
        <v>613</v>
      </c>
      <c r="F282" s="363">
        <f t="shared" si="113"/>
        <v>650</v>
      </c>
      <c r="G282" s="363">
        <f t="shared" si="113"/>
        <v>689.7898374584215</v>
      </c>
      <c r="H282" s="363">
        <f t="shared" si="113"/>
        <v>723.4409172252721</v>
      </c>
      <c r="I282" s="367">
        <v>750.9788305893835</v>
      </c>
      <c r="J282" s="368">
        <v>773.9024586953772</v>
      </c>
      <c r="K282" s="368">
        <v>795.2902493827994</v>
      </c>
      <c r="L282" s="368">
        <v>817.6566220309833</v>
      </c>
      <c r="M282" s="368">
        <v>840.8807301786046</v>
      </c>
      <c r="N282" s="368">
        <v>865.7424328280971</v>
      </c>
      <c r="O282" s="368">
        <v>891.3196768107745</v>
      </c>
      <c r="P282" s="368">
        <v>915.2470384210765</v>
      </c>
      <c r="Q282" s="369">
        <v>936.8191753550128</v>
      </c>
    </row>
    <row r="283" spans="1:17" ht="15">
      <c r="A283" s="52">
        <v>59</v>
      </c>
      <c r="B283" s="373">
        <f t="shared" si="82"/>
        <v>490</v>
      </c>
      <c r="C283" s="363">
        <f t="shared" si="82"/>
        <v>509</v>
      </c>
      <c r="D283" s="363">
        <f aca="true" t="shared" si="114" ref="D283:H283">D123+D203</f>
        <v>533</v>
      </c>
      <c r="E283" s="363">
        <f t="shared" si="114"/>
        <v>565</v>
      </c>
      <c r="F283" s="363">
        <f t="shared" si="114"/>
        <v>606.194</v>
      </c>
      <c r="G283" s="363">
        <f t="shared" si="114"/>
        <v>644.5396987481415</v>
      </c>
      <c r="H283" s="363">
        <f t="shared" si="114"/>
        <v>682.4554255383441</v>
      </c>
      <c r="I283" s="367">
        <v>716.1510126330206</v>
      </c>
      <c r="J283" s="368">
        <v>743.5387387582321</v>
      </c>
      <c r="K283" s="368">
        <v>766.3628541605719</v>
      </c>
      <c r="L283" s="368">
        <v>787.6699571155768</v>
      </c>
      <c r="M283" s="368">
        <v>809.9499307407273</v>
      </c>
      <c r="N283" s="368">
        <v>833.0832788982466</v>
      </c>
      <c r="O283" s="368">
        <v>857.8429866289717</v>
      </c>
      <c r="P283" s="368">
        <v>883.315844950207</v>
      </c>
      <c r="Q283" s="369">
        <v>907.1574296368517</v>
      </c>
    </row>
    <row r="284" spans="1:17" ht="15">
      <c r="A284" s="52">
        <v>60</v>
      </c>
      <c r="B284" s="373">
        <f t="shared" si="82"/>
        <v>473</v>
      </c>
      <c r="C284" s="363">
        <f t="shared" si="82"/>
        <v>486</v>
      </c>
      <c r="D284" s="363">
        <f aca="true" t="shared" si="115" ref="D284:H284">D124+D204</f>
        <v>506</v>
      </c>
      <c r="E284" s="363">
        <f t="shared" si="115"/>
        <v>528</v>
      </c>
      <c r="F284" s="363">
        <f t="shared" si="115"/>
        <v>560</v>
      </c>
      <c r="G284" s="363">
        <f t="shared" si="115"/>
        <v>597</v>
      </c>
      <c r="H284" s="363">
        <f t="shared" si="115"/>
        <v>637.5095026892579</v>
      </c>
      <c r="I284" s="367">
        <v>675.2285349477122</v>
      </c>
      <c r="J284" s="368">
        <v>708.6930189155469</v>
      </c>
      <c r="K284" s="368">
        <v>735.9224761193582</v>
      </c>
      <c r="L284" s="368">
        <v>758.6400846622946</v>
      </c>
      <c r="M284" s="368">
        <v>779.8598922264977</v>
      </c>
      <c r="N284" s="368">
        <v>802.0466532512287</v>
      </c>
      <c r="O284" s="368">
        <v>825.0822466211873</v>
      </c>
      <c r="P284" s="368">
        <v>849.7325918389249</v>
      </c>
      <c r="Q284" s="369">
        <v>875.0935456538</v>
      </c>
    </row>
    <row r="285" spans="1:17" ht="15">
      <c r="A285" s="52">
        <v>61</v>
      </c>
      <c r="B285" s="373">
        <f t="shared" si="82"/>
        <v>452</v>
      </c>
      <c r="C285" s="363">
        <f t="shared" si="82"/>
        <v>469</v>
      </c>
      <c r="D285" s="363">
        <f aca="true" t="shared" si="116" ref="D285:H285">D125+D205</f>
        <v>482</v>
      </c>
      <c r="E285" s="363">
        <f t="shared" si="116"/>
        <v>499</v>
      </c>
      <c r="F285" s="363">
        <f t="shared" si="116"/>
        <v>521</v>
      </c>
      <c r="G285" s="363">
        <f t="shared" si="116"/>
        <v>553.6404824095689</v>
      </c>
      <c r="H285" s="363">
        <f t="shared" si="116"/>
        <v>590.8588797506222</v>
      </c>
      <c r="I285" s="367">
        <v>630.4078714726202</v>
      </c>
      <c r="J285" s="368">
        <v>667.8293753003209</v>
      </c>
      <c r="K285" s="368">
        <v>701.0524871295872</v>
      </c>
      <c r="L285" s="368">
        <v>728.1149855439999</v>
      </c>
      <c r="M285" s="368">
        <v>750.7185724445819</v>
      </c>
      <c r="N285" s="368">
        <v>771.843983347203</v>
      </c>
      <c r="O285" s="368">
        <v>793.9302014388581</v>
      </c>
      <c r="P285" s="368">
        <v>816.8605078449245</v>
      </c>
      <c r="Q285" s="369">
        <v>841.39354914898</v>
      </c>
    </row>
    <row r="286" spans="1:17" ht="15">
      <c r="A286" s="52">
        <v>62</v>
      </c>
      <c r="B286" s="373">
        <f t="shared" si="82"/>
        <v>433</v>
      </c>
      <c r="C286" s="363">
        <f t="shared" si="82"/>
        <v>447</v>
      </c>
      <c r="D286" s="363">
        <f aca="true" t="shared" si="117" ref="D286:H286">D126+D206</f>
        <v>465</v>
      </c>
      <c r="E286" s="363">
        <f t="shared" si="117"/>
        <v>476</v>
      </c>
      <c r="F286" s="363">
        <f t="shared" si="117"/>
        <v>492</v>
      </c>
      <c r="G286" s="363">
        <f t="shared" si="117"/>
        <v>515.1760223938845</v>
      </c>
      <c r="H286" s="363">
        <f t="shared" si="117"/>
        <v>546.9222617155822</v>
      </c>
      <c r="I286" s="367">
        <v>583.8788089484963</v>
      </c>
      <c r="J286" s="368">
        <v>623.0797956945958</v>
      </c>
      <c r="K286" s="368">
        <v>660.1893870107368</v>
      </c>
      <c r="L286" s="368">
        <v>693.158260922978</v>
      </c>
      <c r="M286" s="368">
        <v>720.0431849427798</v>
      </c>
      <c r="N286" s="368">
        <v>742.5237895084097</v>
      </c>
      <c r="O286" s="368">
        <v>763.5464284084711</v>
      </c>
      <c r="P286" s="368">
        <v>785.5234287046372</v>
      </c>
      <c r="Q286" s="369">
        <v>808.3395141586577</v>
      </c>
    </row>
    <row r="287" spans="1:17" ht="15">
      <c r="A287" s="52">
        <v>63</v>
      </c>
      <c r="B287" s="373">
        <f t="shared" si="82"/>
        <v>412</v>
      </c>
      <c r="C287" s="363">
        <f t="shared" si="82"/>
        <v>427</v>
      </c>
      <c r="D287" s="363">
        <f aca="true" t="shared" si="118" ref="D287:H287">D127+D207</f>
        <v>442</v>
      </c>
      <c r="E287" s="363">
        <f t="shared" si="118"/>
        <v>459</v>
      </c>
      <c r="F287" s="363">
        <f t="shared" si="118"/>
        <v>470</v>
      </c>
      <c r="G287" s="363">
        <f t="shared" si="118"/>
        <v>486.3127064689258</v>
      </c>
      <c r="H287" s="363">
        <f t="shared" si="118"/>
        <v>508.98517408029863</v>
      </c>
      <c r="I287" s="367">
        <v>539.98734677113</v>
      </c>
      <c r="J287" s="368">
        <v>576.5912907308899</v>
      </c>
      <c r="K287" s="368">
        <v>615.4238698925166</v>
      </c>
      <c r="L287" s="368">
        <v>652.2023513920731</v>
      </c>
      <c r="M287" s="368">
        <v>684.9000708444992</v>
      </c>
      <c r="N287" s="368">
        <v>711.5937958977186</v>
      </c>
      <c r="O287" s="368">
        <v>733.9401943941663</v>
      </c>
      <c r="P287" s="368">
        <v>754.8496915617875</v>
      </c>
      <c r="Q287" s="369">
        <v>776.7066976950196</v>
      </c>
    </row>
    <row r="288" spans="1:17" ht="15">
      <c r="A288" s="52">
        <v>64</v>
      </c>
      <c r="B288" s="373">
        <f t="shared" si="82"/>
        <v>392</v>
      </c>
      <c r="C288" s="363">
        <f t="shared" si="82"/>
        <v>408</v>
      </c>
      <c r="D288" s="363">
        <f aca="true" t="shared" si="119" ref="D288:H288">D128+D208</f>
        <v>422</v>
      </c>
      <c r="E288" s="363">
        <f t="shared" si="119"/>
        <v>436</v>
      </c>
      <c r="F288" s="363">
        <f t="shared" si="119"/>
        <v>452</v>
      </c>
      <c r="G288" s="363">
        <f t="shared" si="119"/>
        <v>463.99495287913874</v>
      </c>
      <c r="H288" s="363">
        <f t="shared" si="119"/>
        <v>479.5422060471501</v>
      </c>
      <c r="I288" s="367">
        <v>501.97937955281895</v>
      </c>
      <c r="J288" s="368">
        <v>532.6685495142167</v>
      </c>
      <c r="K288" s="368">
        <v>568.8950721347874</v>
      </c>
      <c r="L288" s="368">
        <v>607.333058681194</v>
      </c>
      <c r="M288" s="368">
        <v>643.7559087088059</v>
      </c>
      <c r="N288" s="368">
        <v>676.1610227397241</v>
      </c>
      <c r="O288" s="368">
        <v>702.6464818901736</v>
      </c>
      <c r="P288" s="368">
        <v>724.8447924348258</v>
      </c>
      <c r="Q288" s="369">
        <v>745.6284001743281</v>
      </c>
    </row>
    <row r="289" spans="1:17" ht="15">
      <c r="A289" s="52">
        <v>65</v>
      </c>
      <c r="B289" s="373">
        <f t="shared" si="82"/>
        <v>373</v>
      </c>
      <c r="C289" s="363">
        <f t="shared" si="82"/>
        <v>388</v>
      </c>
      <c r="D289" s="363">
        <f aca="true" t="shared" si="120" ref="D289:H289">D129+D209</f>
        <v>404</v>
      </c>
      <c r="E289" s="363">
        <f t="shared" si="120"/>
        <v>416</v>
      </c>
      <c r="F289" s="363">
        <f t="shared" si="120"/>
        <v>429.725</v>
      </c>
      <c r="G289" s="363">
        <f t="shared" si="120"/>
        <v>444.0297962756248</v>
      </c>
      <c r="H289" s="363">
        <f t="shared" si="120"/>
        <v>456.6742403830265</v>
      </c>
      <c r="I289" s="367">
        <v>472.3625983996246</v>
      </c>
      <c r="J289" s="368">
        <v>494.57598204558514</v>
      </c>
      <c r="K289" s="368">
        <v>524.9288300055404</v>
      </c>
      <c r="L289" s="368">
        <v>560.7504255804547</v>
      </c>
      <c r="M289" s="368">
        <v>598.7647781950809</v>
      </c>
      <c r="N289" s="368">
        <v>634.8047467507281</v>
      </c>
      <c r="O289" s="368">
        <v>666.8933479887326</v>
      </c>
      <c r="P289" s="368">
        <v>693.1514283172864</v>
      </c>
      <c r="Q289" s="369">
        <v>715.1860224668269</v>
      </c>
    </row>
    <row r="290" spans="1:17" ht="15">
      <c r="A290" s="52">
        <v>66</v>
      </c>
      <c r="B290" s="373">
        <f t="shared" si="82"/>
        <v>358</v>
      </c>
      <c r="C290" s="363">
        <f t="shared" si="82"/>
        <v>367</v>
      </c>
      <c r="D290" s="363">
        <f aca="true" t="shared" si="121" ref="D290:H290">D130+D210</f>
        <v>381</v>
      </c>
      <c r="E290" s="363">
        <f t="shared" si="121"/>
        <v>395</v>
      </c>
      <c r="F290" s="363">
        <f t="shared" si="121"/>
        <v>409</v>
      </c>
      <c r="G290" s="363">
        <f t="shared" si="121"/>
        <v>422.856917130964</v>
      </c>
      <c r="H290" s="363">
        <f t="shared" si="121"/>
        <v>436.32325888451027</v>
      </c>
      <c r="I290" s="367">
        <v>449.24210869863214</v>
      </c>
      <c r="J290" s="368">
        <v>464.786961717396</v>
      </c>
      <c r="K290" s="368">
        <v>486.75833479564625</v>
      </c>
      <c r="L290" s="368">
        <v>516.7499457796903</v>
      </c>
      <c r="M290" s="368">
        <v>552.1372694316012</v>
      </c>
      <c r="N290" s="368">
        <v>589.6969705481227</v>
      </c>
      <c r="O290" s="368">
        <v>625.3248480321292</v>
      </c>
      <c r="P290" s="368">
        <v>657.0711712831572</v>
      </c>
      <c r="Q290" s="369">
        <v>683.081091820532</v>
      </c>
    </row>
    <row r="291" spans="1:17" ht="15">
      <c r="A291" s="52">
        <v>67</v>
      </c>
      <c r="B291" s="373">
        <f aca="true" t="shared" si="122" ref="B291:H299">B131+B211</f>
        <v>342</v>
      </c>
      <c r="C291" s="363">
        <f t="shared" si="122"/>
        <v>352</v>
      </c>
      <c r="D291" s="363">
        <f t="shared" si="122"/>
        <v>362</v>
      </c>
      <c r="E291" s="363">
        <f t="shared" si="122"/>
        <v>374.062</v>
      </c>
      <c r="F291" s="363">
        <f t="shared" si="122"/>
        <v>388.397</v>
      </c>
      <c r="G291" s="363">
        <f t="shared" si="122"/>
        <v>402.8080019860599</v>
      </c>
      <c r="H291" s="363">
        <f t="shared" si="122"/>
        <v>415.57677214160015</v>
      </c>
      <c r="I291" s="367">
        <v>428.5853061420454</v>
      </c>
      <c r="J291" s="368">
        <v>441.38790280434955</v>
      </c>
      <c r="K291" s="368">
        <v>456.7747984490146</v>
      </c>
      <c r="L291" s="368">
        <v>478.48376780564126</v>
      </c>
      <c r="M291" s="368">
        <v>508.08633388881543</v>
      </c>
      <c r="N291" s="368">
        <v>543.0066497465311</v>
      </c>
      <c r="O291" s="368">
        <v>580.0770737376254</v>
      </c>
      <c r="P291" s="368">
        <v>615.2601911235693</v>
      </c>
      <c r="Q291" s="369">
        <v>646.635339535655</v>
      </c>
    </row>
    <row r="292" spans="1:17" ht="15">
      <c r="A292" s="52">
        <v>68</v>
      </c>
      <c r="B292" s="373">
        <f t="shared" si="122"/>
        <v>328</v>
      </c>
      <c r="C292" s="363">
        <f t="shared" si="122"/>
        <v>336</v>
      </c>
      <c r="D292" s="363">
        <f t="shared" si="122"/>
        <v>345</v>
      </c>
      <c r="E292" s="363">
        <f t="shared" si="122"/>
        <v>356</v>
      </c>
      <c r="F292" s="363">
        <f t="shared" si="122"/>
        <v>368</v>
      </c>
      <c r="G292" s="363">
        <f t="shared" si="122"/>
        <v>382.3921938501828</v>
      </c>
      <c r="H292" s="363">
        <f t="shared" si="122"/>
        <v>395.0539999482859</v>
      </c>
      <c r="I292" s="367">
        <v>407.53189346833886</v>
      </c>
      <c r="J292" s="368">
        <v>420.402760676103</v>
      </c>
      <c r="K292" s="368">
        <v>433.0755689027804</v>
      </c>
      <c r="L292" s="368">
        <v>448.28836517270565</v>
      </c>
      <c r="M292" s="368">
        <v>469.7123042335818</v>
      </c>
      <c r="N292" s="368">
        <v>498.8950928449637</v>
      </c>
      <c r="O292" s="368">
        <v>533.3122506127336</v>
      </c>
      <c r="P292" s="368">
        <v>569.8551291555026</v>
      </c>
      <c r="Q292" s="369">
        <v>604.557293880722</v>
      </c>
    </row>
    <row r="293" spans="1:17" ht="15">
      <c r="A293" s="52">
        <v>69</v>
      </c>
      <c r="B293" s="373">
        <f t="shared" si="122"/>
        <v>320</v>
      </c>
      <c r="C293" s="363">
        <f t="shared" si="122"/>
        <v>321</v>
      </c>
      <c r="D293" s="363">
        <f t="shared" si="122"/>
        <v>330</v>
      </c>
      <c r="E293" s="363">
        <f t="shared" si="122"/>
        <v>338</v>
      </c>
      <c r="F293" s="363">
        <f t="shared" si="122"/>
        <v>348</v>
      </c>
      <c r="G293" s="363">
        <f t="shared" si="122"/>
        <v>360.86235844582984</v>
      </c>
      <c r="H293" s="363">
        <f t="shared" si="122"/>
        <v>373.85628617430626</v>
      </c>
      <c r="I293" s="367">
        <v>386.695977828264</v>
      </c>
      <c r="J293" s="368">
        <v>399.0247891921624</v>
      </c>
      <c r="K293" s="368">
        <v>411.74259058263704</v>
      </c>
      <c r="L293" s="368">
        <v>424.2704981680973</v>
      </c>
      <c r="M293" s="368">
        <v>439.29125231087374</v>
      </c>
      <c r="N293" s="368">
        <v>460.40519912273743</v>
      </c>
      <c r="O293" s="368">
        <v>489.1344574677239</v>
      </c>
      <c r="P293" s="368">
        <v>523.0087908227679</v>
      </c>
      <c r="Q293" s="369">
        <v>558.9820956805136</v>
      </c>
    </row>
    <row r="294" spans="1:17" ht="15">
      <c r="A294" s="52">
        <v>70</v>
      </c>
      <c r="B294" s="373">
        <f t="shared" si="122"/>
        <v>302</v>
      </c>
      <c r="C294" s="363">
        <f t="shared" si="122"/>
        <v>313</v>
      </c>
      <c r="D294" s="363">
        <f t="shared" si="122"/>
        <v>313</v>
      </c>
      <c r="E294" s="363">
        <f t="shared" si="122"/>
        <v>322</v>
      </c>
      <c r="F294" s="363">
        <f t="shared" si="122"/>
        <v>329</v>
      </c>
      <c r="G294" s="363">
        <f t="shared" si="122"/>
        <v>340.4621849385853</v>
      </c>
      <c r="H294" s="363">
        <f t="shared" si="122"/>
        <v>352.4570577332466</v>
      </c>
      <c r="I294" s="367">
        <v>365.20311638838575</v>
      </c>
      <c r="J294" s="368">
        <v>377.8607140504079</v>
      </c>
      <c r="K294" s="368">
        <v>390.0237780780647</v>
      </c>
      <c r="L294" s="368">
        <v>402.5714075109256</v>
      </c>
      <c r="M294" s="368">
        <v>414.9375866381438</v>
      </c>
      <c r="N294" s="368">
        <v>429.74640785553413</v>
      </c>
      <c r="O294" s="368">
        <v>450.52290060699517</v>
      </c>
      <c r="P294" s="368">
        <v>478.7616654963739</v>
      </c>
      <c r="Q294" s="369">
        <v>512.0497756857384</v>
      </c>
    </row>
    <row r="295" spans="1:17" ht="15">
      <c r="A295" s="52">
        <v>71</v>
      </c>
      <c r="B295" s="373">
        <f t="shared" si="122"/>
        <v>299</v>
      </c>
      <c r="C295" s="363">
        <f t="shared" si="122"/>
        <v>296</v>
      </c>
      <c r="D295" s="363">
        <f t="shared" si="122"/>
        <v>305</v>
      </c>
      <c r="E295" s="363">
        <f t="shared" si="122"/>
        <v>304</v>
      </c>
      <c r="F295" s="363">
        <f t="shared" si="122"/>
        <v>314</v>
      </c>
      <c r="G295" s="363">
        <f t="shared" si="122"/>
        <v>320.88138282952065</v>
      </c>
      <c r="H295" s="363">
        <f t="shared" si="122"/>
        <v>331.4492298966503</v>
      </c>
      <c r="I295" s="367">
        <v>343.5231252515812</v>
      </c>
      <c r="J295" s="368">
        <v>356.06050257773165</v>
      </c>
      <c r="K295" s="368">
        <v>368.51686406877843</v>
      </c>
      <c r="L295" s="368">
        <v>380.4957172867642</v>
      </c>
      <c r="M295" s="368">
        <v>392.85420779542414</v>
      </c>
      <c r="N295" s="368">
        <v>405.03995700951043</v>
      </c>
      <c r="O295" s="368">
        <v>419.6148325302586</v>
      </c>
      <c r="P295" s="368">
        <v>440.02370072314216</v>
      </c>
      <c r="Q295" s="369">
        <v>467.73154234668243</v>
      </c>
    </row>
    <row r="296" spans="1:17" ht="15">
      <c r="A296" s="52">
        <v>72</v>
      </c>
      <c r="B296" s="373">
        <f t="shared" si="122"/>
        <v>278</v>
      </c>
      <c r="C296" s="363">
        <f t="shared" si="122"/>
        <v>291</v>
      </c>
      <c r="D296" s="363">
        <f t="shared" si="122"/>
        <v>288</v>
      </c>
      <c r="E296" s="363">
        <f t="shared" si="122"/>
        <v>296</v>
      </c>
      <c r="F296" s="363">
        <f t="shared" si="122"/>
        <v>296</v>
      </c>
      <c r="G296" s="363">
        <f t="shared" si="122"/>
        <v>303.598815763698</v>
      </c>
      <c r="H296" s="363">
        <f t="shared" si="122"/>
        <v>311.9868773210514</v>
      </c>
      <c r="I296" s="367">
        <v>322.2377089022516</v>
      </c>
      <c r="J296" s="368">
        <v>334.0899329473141</v>
      </c>
      <c r="K296" s="368">
        <v>346.39744123581363</v>
      </c>
      <c r="L296" s="368">
        <v>358.6314682227575</v>
      </c>
      <c r="M296" s="368">
        <v>370.4056962955183</v>
      </c>
      <c r="N296" s="368">
        <v>382.5540603451658</v>
      </c>
      <c r="O296" s="368">
        <v>394.5386403219916</v>
      </c>
      <c r="P296" s="368">
        <v>408.8552531010228</v>
      </c>
      <c r="Q296" s="369">
        <v>428.86339546647935</v>
      </c>
    </row>
    <row r="297" spans="1:17" ht="15">
      <c r="A297" s="52">
        <v>73</v>
      </c>
      <c r="B297" s="373">
        <f t="shared" si="122"/>
        <v>258</v>
      </c>
      <c r="C297" s="363">
        <f t="shared" si="122"/>
        <v>269</v>
      </c>
      <c r="D297" s="363">
        <f t="shared" si="122"/>
        <v>284</v>
      </c>
      <c r="E297" s="363">
        <f t="shared" si="122"/>
        <v>277</v>
      </c>
      <c r="F297" s="363">
        <f t="shared" si="122"/>
        <v>287</v>
      </c>
      <c r="G297" s="363">
        <f t="shared" si="122"/>
        <v>289.9199542813923</v>
      </c>
      <c r="H297" s="363">
        <f t="shared" si="122"/>
        <v>294.6824926699449</v>
      </c>
      <c r="I297" s="367">
        <v>302.4686558961731</v>
      </c>
      <c r="J297" s="368">
        <v>312.5190364649778</v>
      </c>
      <c r="K297" s="368">
        <v>324.127144226529</v>
      </c>
      <c r="L297" s="368">
        <v>336.18153107475234</v>
      </c>
      <c r="M297" s="368">
        <v>348.1700202914417</v>
      </c>
      <c r="N297" s="368">
        <v>359.7171050303954</v>
      </c>
      <c r="O297" s="368">
        <v>371.63217399898383</v>
      </c>
      <c r="P297" s="368">
        <v>383.3926420771662</v>
      </c>
      <c r="Q297" s="369">
        <v>397.4241871939937</v>
      </c>
    </row>
    <row r="298" spans="1:17" ht="15">
      <c r="A298" s="52">
        <v>74</v>
      </c>
      <c r="B298" s="373">
        <f t="shared" si="122"/>
        <v>219.211</v>
      </c>
      <c r="C298" s="363">
        <f t="shared" si="122"/>
        <v>246.916</v>
      </c>
      <c r="D298" s="363">
        <f t="shared" si="122"/>
        <v>259.621</v>
      </c>
      <c r="E298" s="363">
        <f t="shared" si="122"/>
        <v>277.01599999999996</v>
      </c>
      <c r="F298" s="363">
        <f t="shared" si="122"/>
        <v>267.422</v>
      </c>
      <c r="G298" s="363">
        <f t="shared" si="122"/>
        <v>277.25182615736367</v>
      </c>
      <c r="H298" s="363">
        <f t="shared" si="122"/>
        <v>279.9893946968562</v>
      </c>
      <c r="I298" s="367">
        <v>284.8025314622505</v>
      </c>
      <c r="J298" s="368">
        <v>292.43638171131045</v>
      </c>
      <c r="K298" s="368">
        <v>302.2645394281387</v>
      </c>
      <c r="L298" s="368">
        <v>313.6039867770165</v>
      </c>
      <c r="M298" s="368">
        <v>325.3798109531419</v>
      </c>
      <c r="N298" s="368">
        <v>337.0973230425044</v>
      </c>
      <c r="O298" s="368">
        <v>348.3925053409921</v>
      </c>
      <c r="P298" s="368">
        <v>360.0487851444262</v>
      </c>
      <c r="Q298" s="369">
        <v>371.5598449510384</v>
      </c>
    </row>
    <row r="299" spans="1:17" ht="15">
      <c r="A299" s="52" t="s">
        <v>102</v>
      </c>
      <c r="B299" s="374">
        <f t="shared" si="122"/>
        <v>1743.27</v>
      </c>
      <c r="C299" s="375">
        <f t="shared" si="122"/>
        <v>1837.0189999999998</v>
      </c>
      <c r="D299" s="375">
        <f t="shared" si="122"/>
        <v>1937.054</v>
      </c>
      <c r="E299" s="375">
        <f t="shared" si="122"/>
        <v>2037.469</v>
      </c>
      <c r="F299" s="375">
        <f t="shared" si="122"/>
        <v>2190</v>
      </c>
      <c r="G299" s="375">
        <f t="shared" si="122"/>
        <v>2246.1715332937115</v>
      </c>
      <c r="H299" s="375">
        <f t="shared" si="122"/>
        <v>2339.042139630104</v>
      </c>
      <c r="I299" s="370">
        <v>2428.1316246054866</v>
      </c>
      <c r="J299" s="382">
        <v>2515.045345734451</v>
      </c>
      <c r="K299" s="382">
        <v>2602.25289166739</v>
      </c>
      <c r="L299" s="382">
        <v>2691.617265179479</v>
      </c>
      <c r="M299" s="382">
        <v>2784.36066702619</v>
      </c>
      <c r="N299" s="382">
        <v>2880.6888825941646</v>
      </c>
      <c r="O299" s="382">
        <v>2980.3697799878173</v>
      </c>
      <c r="P299" s="382">
        <v>3082.86166197677</v>
      </c>
      <c r="Q299" s="383">
        <v>3188.4229742046105</v>
      </c>
    </row>
    <row r="300" spans="1:17" ht="15">
      <c r="A300" s="298" t="s">
        <v>15</v>
      </c>
      <c r="B300" s="74">
        <f aca="true" t="shared" si="123" ref="B300:H300">SUM(B224:B299)</f>
        <v>61758.481</v>
      </c>
      <c r="C300" s="74">
        <f t="shared" si="123"/>
        <v>62248.935</v>
      </c>
      <c r="D300" s="74">
        <f t="shared" si="123"/>
        <v>62706.64599999999</v>
      </c>
      <c r="E300" s="74">
        <f t="shared" si="123"/>
        <v>63103.243</v>
      </c>
      <c r="F300" s="74">
        <f t="shared" si="123"/>
        <v>63502.157</v>
      </c>
      <c r="G300" s="74">
        <f t="shared" si="123"/>
        <v>63790.75654525582</v>
      </c>
      <c r="H300" s="74">
        <f t="shared" si="123"/>
        <v>64082.42121420116</v>
      </c>
      <c r="I300" s="74">
        <f aca="true" t="shared" si="124" ref="I300:Q300">SUM(I224:I299)</f>
        <v>64360.18766125531</v>
      </c>
      <c r="J300" s="74">
        <f t="shared" si="124"/>
        <v>64623.04486955624</v>
      </c>
      <c r="K300" s="74">
        <f t="shared" si="124"/>
        <v>64871.08369360526</v>
      </c>
      <c r="L300" s="74">
        <f t="shared" si="124"/>
        <v>65104.41519246467</v>
      </c>
      <c r="M300" s="74">
        <f t="shared" si="124"/>
        <v>65323.14801677582</v>
      </c>
      <c r="N300" s="74">
        <f t="shared" si="124"/>
        <v>65521.66038593669</v>
      </c>
      <c r="O300" s="74">
        <f t="shared" si="124"/>
        <v>65700.03539835062</v>
      </c>
      <c r="P300" s="74">
        <f t="shared" si="124"/>
        <v>65858.261043484</v>
      </c>
      <c r="Q300" s="74">
        <f t="shared" si="124"/>
        <v>65996.23853459097</v>
      </c>
    </row>
  </sheetData>
  <mergeCells count="3">
    <mergeCell ref="A62:H62"/>
    <mergeCell ref="P4:Q4"/>
    <mergeCell ref="P5:Q5"/>
  </mergeCells>
  <printOptions/>
  <pageMargins left="0.7" right="0.7" top="0.75" bottom="0.75" header="0.3" footer="0.3"/>
  <pageSetup horizontalDpi="1200" verticalDpi="1200" orientation="portrait" paperSize="9" r:id="rId1"/>
  <ignoredErrors>
    <ignoredError sqref="A12 A43 A30 A48" twoDigitTextYear="1"/>
    <ignoredError sqref="B60:G60 B10:B15 B16:B22 C10:C12 C13:C22 D10:H22 G23 I10:Q22 B28:H40 I28:Q40 I60:Q60 I300:Q300" formulaRange="1"/>
  </ignoredErrors>
</worksheet>
</file>

<file path=xl/worksheets/sheet3.xml><?xml version="1.0" encoding="utf-8"?>
<worksheet xmlns="http://schemas.openxmlformats.org/spreadsheetml/2006/main" xmlns:r="http://schemas.openxmlformats.org/officeDocument/2006/relationships">
  <sheetPr>
    <tabColor theme="3" tint="-0.24997000396251678"/>
  </sheetPr>
  <dimension ref="A1:Q53"/>
  <sheetViews>
    <sheetView workbookViewId="0" topLeftCell="A1">
      <selection activeCell="A2" sqref="A2"/>
    </sheetView>
  </sheetViews>
  <sheetFormatPr defaultColWidth="8.8515625" defaultRowHeight="15"/>
  <cols>
    <col min="1" max="1" width="8.8515625" style="77" customWidth="1"/>
    <col min="2" max="17" width="8.421875" style="77" customWidth="1"/>
    <col min="18" max="16384" width="8.8515625" style="77" customWidth="1"/>
  </cols>
  <sheetData>
    <row r="1" spans="1:17" ht="18.75">
      <c r="A1" s="60" t="s">
        <v>76</v>
      </c>
      <c r="B1" s="1"/>
      <c r="C1" s="1"/>
      <c r="D1" s="1"/>
      <c r="E1" s="1"/>
      <c r="F1" s="1"/>
      <c r="G1" s="1"/>
      <c r="H1" s="1"/>
      <c r="I1" s="1"/>
      <c r="J1" s="1"/>
      <c r="K1" s="1"/>
      <c r="L1" s="1"/>
      <c r="M1" s="1"/>
      <c r="N1" s="1"/>
      <c r="O1" s="1"/>
      <c r="P1" s="1"/>
      <c r="Q1" s="1"/>
    </row>
    <row r="2" spans="1:17" ht="15">
      <c r="A2" s="1"/>
      <c r="B2" s="1"/>
      <c r="C2" s="1"/>
      <c r="D2" s="1"/>
      <c r="E2" s="1"/>
      <c r="F2" s="1"/>
      <c r="G2" s="1"/>
      <c r="H2" s="1"/>
      <c r="I2" s="1"/>
      <c r="J2" s="1"/>
      <c r="K2" s="1"/>
      <c r="L2" s="1"/>
      <c r="M2" s="1"/>
      <c r="N2" s="1"/>
      <c r="O2" s="48" t="s">
        <v>32</v>
      </c>
      <c r="P2" s="49"/>
      <c r="Q2" s="51" t="str">
        <f>README!I6</f>
        <v>1.1</v>
      </c>
    </row>
    <row r="3" spans="1:17" ht="15">
      <c r="A3" s="1"/>
      <c r="B3" s="1"/>
      <c r="C3" s="1"/>
      <c r="D3" s="1"/>
      <c r="E3" s="1"/>
      <c r="F3" s="1"/>
      <c r="G3" s="1"/>
      <c r="H3" s="1"/>
      <c r="I3" s="1"/>
      <c r="J3" s="1"/>
      <c r="K3" s="1"/>
      <c r="L3" s="1"/>
      <c r="M3" s="1"/>
      <c r="N3" s="1"/>
      <c r="O3" s="48" t="s">
        <v>28</v>
      </c>
      <c r="P3" s="49"/>
      <c r="Q3" s="51" t="str">
        <f>README!I7</f>
        <v>Coresia</v>
      </c>
    </row>
    <row r="4" spans="1:17" ht="15">
      <c r="A4" s="1"/>
      <c r="B4" s="1"/>
      <c r="C4" s="1"/>
      <c r="D4" s="1"/>
      <c r="E4" s="1"/>
      <c r="F4" s="1"/>
      <c r="G4" s="1"/>
      <c r="H4" s="1"/>
      <c r="I4" s="1"/>
      <c r="J4" s="1"/>
      <c r="K4" s="1"/>
      <c r="L4" s="1"/>
      <c r="M4" s="1"/>
      <c r="N4" s="1"/>
      <c r="O4" s="48" t="s">
        <v>33</v>
      </c>
      <c r="P4" s="595">
        <f>README!H8</f>
        <v>41565</v>
      </c>
      <c r="Q4" s="595"/>
    </row>
    <row r="5" spans="1:17" ht="15">
      <c r="A5" s="1"/>
      <c r="B5" s="1"/>
      <c r="C5" s="1"/>
      <c r="D5" s="1"/>
      <c r="E5" s="1"/>
      <c r="F5" s="1"/>
      <c r="G5" s="1"/>
      <c r="H5" s="1"/>
      <c r="I5" s="1"/>
      <c r="J5" s="1"/>
      <c r="K5" s="1"/>
      <c r="L5" s="1"/>
      <c r="M5" s="1"/>
      <c r="N5" s="1"/>
      <c r="O5" s="48" t="s">
        <v>25</v>
      </c>
      <c r="P5" s="595">
        <f>README!H9</f>
        <v>41605</v>
      </c>
      <c r="Q5" s="595"/>
    </row>
    <row r="6" spans="1:17" ht="15">
      <c r="A6" s="1"/>
      <c r="B6" s="1"/>
      <c r="C6" s="1"/>
      <c r="D6" s="1"/>
      <c r="E6" s="1"/>
      <c r="F6" s="1"/>
      <c r="G6" s="1"/>
      <c r="H6" s="1"/>
      <c r="I6" s="1"/>
      <c r="J6" s="1"/>
      <c r="K6" s="1"/>
      <c r="L6" s="1"/>
      <c r="M6" s="1"/>
      <c r="N6" s="1"/>
      <c r="O6" s="48" t="s">
        <v>26</v>
      </c>
      <c r="P6" s="49"/>
      <c r="Q6" s="51" t="str">
        <f>README!I10</f>
        <v>ABND guide</v>
      </c>
    </row>
    <row r="7" spans="1:17" ht="15">
      <c r="A7" s="1"/>
      <c r="B7" s="1"/>
      <c r="C7" s="1"/>
      <c r="D7" s="1"/>
      <c r="E7" s="1"/>
      <c r="F7" s="1"/>
      <c r="G7" s="1"/>
      <c r="H7" s="1"/>
      <c r="I7" s="1"/>
      <c r="J7" s="1"/>
      <c r="K7" s="1"/>
      <c r="L7" s="1"/>
      <c r="M7" s="1"/>
      <c r="N7" s="1"/>
      <c r="O7" s="1"/>
      <c r="P7" s="1"/>
      <c r="Q7" s="1"/>
    </row>
    <row r="8" spans="1:17" ht="17.25">
      <c r="A8" s="2" t="s">
        <v>77</v>
      </c>
      <c r="B8" s="1"/>
      <c r="C8" s="1"/>
      <c r="D8" s="1"/>
      <c r="E8" s="1"/>
      <c r="F8" s="1"/>
      <c r="G8" s="1"/>
      <c r="H8" s="1"/>
      <c r="I8" s="1"/>
      <c r="J8" s="1"/>
      <c r="K8" s="1"/>
      <c r="L8" s="1"/>
      <c r="M8" s="1"/>
      <c r="N8" s="1"/>
      <c r="O8" s="1"/>
      <c r="P8" s="1"/>
      <c r="Q8" s="1"/>
    </row>
    <row r="9" spans="1:17" ht="15">
      <c r="A9" s="302" t="s">
        <v>1</v>
      </c>
      <c r="B9" s="300">
        <v>2005</v>
      </c>
      <c r="C9" s="300">
        <v>2006</v>
      </c>
      <c r="D9" s="300">
        <v>2007</v>
      </c>
      <c r="E9" s="300">
        <v>2008</v>
      </c>
      <c r="F9" s="300">
        <v>2009</v>
      </c>
      <c r="G9" s="300">
        <v>2010</v>
      </c>
      <c r="H9" s="303">
        <v>2011</v>
      </c>
      <c r="I9" s="300">
        <v>2012</v>
      </c>
      <c r="J9" s="300">
        <v>2013</v>
      </c>
      <c r="K9" s="300">
        <v>2014</v>
      </c>
      <c r="L9" s="300">
        <v>2015</v>
      </c>
      <c r="M9" s="300">
        <v>2016</v>
      </c>
      <c r="N9" s="300">
        <v>2017</v>
      </c>
      <c r="O9" s="300">
        <v>2018</v>
      </c>
      <c r="P9" s="300">
        <v>2019</v>
      </c>
      <c r="Q9" s="300">
        <v>2020</v>
      </c>
    </row>
    <row r="10" spans="1:17" ht="15">
      <c r="A10" s="153" t="s">
        <v>5</v>
      </c>
      <c r="B10" s="352">
        <f>'LPR (AR)'!B12/100*POP!B13</f>
        <v>806.4048152569536</v>
      </c>
      <c r="C10" s="353">
        <f>'LPR (AR)'!C12/100*POP!C13</f>
        <v>756.0132636405291</v>
      </c>
      <c r="D10" s="353">
        <f>'LPR (AR)'!D12/100*POP!D13</f>
        <v>764.3430213901053</v>
      </c>
      <c r="E10" s="353">
        <f>'LPR (AR)'!E12/100*POP!E13</f>
        <v>778.5744505122802</v>
      </c>
      <c r="F10" s="353">
        <f>'LPR (AR)'!F12/100*POP!F13</f>
        <v>786.86850172234</v>
      </c>
      <c r="G10" s="353">
        <f>'LPR (AR)'!G12/100*POP!G13</f>
        <v>766.0455924549427</v>
      </c>
      <c r="H10" s="353">
        <f>'LPR (AR)'!H12/100*POP!H13</f>
        <v>755.1585970168436</v>
      </c>
      <c r="I10" s="341">
        <f>'LPR (AR)'!I12/100*POP!I13</f>
        <v>741.4818305929066</v>
      </c>
      <c r="J10" s="342">
        <f>'LPR (AR)'!J12/100*POP!J13</f>
        <v>725.3567878671217</v>
      </c>
      <c r="K10" s="342">
        <f>'LPR (AR)'!K12/100*POP!K13</f>
        <v>707.4727884294305</v>
      </c>
      <c r="L10" s="342">
        <f>'LPR (AR)'!L12/100*POP!L13</f>
        <v>688.3552259716352</v>
      </c>
      <c r="M10" s="342">
        <f>'LPR (AR)'!M12/100*POP!M13</f>
        <v>668.0025623362508</v>
      </c>
      <c r="N10" s="342">
        <f>'LPR (AR)'!N12/100*POP!N13</f>
        <v>646.3646071185733</v>
      </c>
      <c r="O10" s="342">
        <f>'LPR (AR)'!O12/100*POP!O13</f>
        <v>623.9025952198333</v>
      </c>
      <c r="P10" s="342">
        <f>'LPR (AR)'!P12/100*POP!P13</f>
        <v>601.130486664069</v>
      </c>
      <c r="Q10" s="343">
        <f>'LPR (AR)'!Q12/100*POP!Q13</f>
        <v>578.4401068767876</v>
      </c>
    </row>
    <row r="11" spans="1:17" ht="15">
      <c r="A11" s="154" t="s">
        <v>6</v>
      </c>
      <c r="B11" s="355">
        <f>'LPR (AR)'!B13/100*POP!B14</f>
        <v>1780.9722993461876</v>
      </c>
      <c r="C11" s="339">
        <f>'LPR (AR)'!C13/100*POP!C14</f>
        <v>1728.3438626358675</v>
      </c>
      <c r="D11" s="339">
        <f>'LPR (AR)'!D13/100*POP!D14</f>
        <v>1716.4560188296837</v>
      </c>
      <c r="E11" s="339">
        <f>'LPR (AR)'!E13/100*POP!E14</f>
        <v>1737.4001921809552</v>
      </c>
      <c r="F11" s="339">
        <f>'LPR (AR)'!F13/100*POP!F14</f>
        <v>1729.2066308141048</v>
      </c>
      <c r="G11" s="339">
        <f>'LPR (AR)'!G13/100*POP!G14</f>
        <v>1715.1180144250977</v>
      </c>
      <c r="H11" s="339">
        <f>'LPR (AR)'!H13/100*POP!H14</f>
        <v>1724.8306446206282</v>
      </c>
      <c r="I11" s="344">
        <f>'LPR (AR)'!I13/100*POP!I14</f>
        <v>1743.0533416900932</v>
      </c>
      <c r="J11" s="340">
        <f>'LPR (AR)'!J13/100*POP!J14</f>
        <v>1765.9096420529315</v>
      </c>
      <c r="K11" s="340">
        <f>'LPR (AR)'!K13/100*POP!K14</f>
        <v>1787.2315693467026</v>
      </c>
      <c r="L11" s="340">
        <f>'LPR (AR)'!L13/100*POP!L14</f>
        <v>1802.4954193333515</v>
      </c>
      <c r="M11" s="340">
        <f>'LPR (AR)'!M13/100*POP!M14</f>
        <v>1810.2525111395385</v>
      </c>
      <c r="N11" s="340">
        <f>'LPR (AR)'!N13/100*POP!N14</f>
        <v>1811.3343692635506</v>
      </c>
      <c r="O11" s="340">
        <f>'LPR (AR)'!O13/100*POP!O14</f>
        <v>1806.3398767142487</v>
      </c>
      <c r="P11" s="340">
        <f>'LPR (AR)'!P13/100*POP!P14</f>
        <v>1796.6579943759505</v>
      </c>
      <c r="Q11" s="345">
        <f>'LPR (AR)'!Q13/100*POP!Q14</f>
        <v>1783.366109948041</v>
      </c>
    </row>
    <row r="12" spans="1:17" ht="15">
      <c r="A12" s="154" t="s">
        <v>7</v>
      </c>
      <c r="B12" s="355">
        <f>'LPR (AR)'!B14/100*POP!B15</f>
        <v>2403.632299920761</v>
      </c>
      <c r="C12" s="339">
        <f>'LPR (AR)'!C14/100*POP!C15</f>
        <v>2355.487013039989</v>
      </c>
      <c r="D12" s="339">
        <f>'LPR (AR)'!D14/100*POP!D15</f>
        <v>2314.5334537529607</v>
      </c>
      <c r="E12" s="339">
        <f>'LPR (AR)'!E14/100*POP!E15</f>
        <v>2251.6882581598024</v>
      </c>
      <c r="F12" s="339">
        <f>'LPR (AR)'!F14/100*POP!F15</f>
        <v>2205.6083605931244</v>
      </c>
      <c r="G12" s="339">
        <f>'LPR (AR)'!G14/100*POP!G15</f>
        <v>2148.6315195834336</v>
      </c>
      <c r="H12" s="339">
        <f>'LPR (AR)'!H14/100*POP!H15</f>
        <v>2106.9239402991625</v>
      </c>
      <c r="I12" s="344">
        <f>'LPR (AR)'!I14/100*POP!I15</f>
        <v>2073.749386845296</v>
      </c>
      <c r="J12" s="340">
        <f>'LPR (AR)'!J14/100*POP!J15</f>
        <v>2050.0399464993</v>
      </c>
      <c r="K12" s="340">
        <f>'LPR (AR)'!K14/100*POP!K15</f>
        <v>2037.290122222836</v>
      </c>
      <c r="L12" s="340">
        <f>'LPR (AR)'!L14/100*POP!L15</f>
        <v>2036.0198958903416</v>
      </c>
      <c r="M12" s="340">
        <f>'LPR (AR)'!M14/100*POP!M15</f>
        <v>2047.2784772134505</v>
      </c>
      <c r="N12" s="340">
        <f>'LPR (AR)'!N14/100*POP!N15</f>
        <v>2069.479122310528</v>
      </c>
      <c r="O12" s="340">
        <f>'LPR (AR)'!O14/100*POP!O15</f>
        <v>2097.167170116632</v>
      </c>
      <c r="P12" s="340">
        <f>'LPR (AR)'!P14/100*POP!P15</f>
        <v>2123.02178376282</v>
      </c>
      <c r="Q12" s="345">
        <f>'LPR (AR)'!Q14/100*POP!Q15</f>
        <v>2141.6717074613102</v>
      </c>
    </row>
    <row r="13" spans="1:17" ht="15">
      <c r="A13" s="154" t="s">
        <v>8</v>
      </c>
      <c r="B13" s="355">
        <f>'LPR (AR)'!B15/100*POP!B16</f>
        <v>2516.7767015458494</v>
      </c>
      <c r="C13" s="339">
        <f>'LPR (AR)'!C15/100*POP!C16</f>
        <v>2495.5522447303024</v>
      </c>
      <c r="D13" s="339">
        <f>'LPR (AR)'!D15/100*POP!D16</f>
        <v>2488.3361990174585</v>
      </c>
      <c r="E13" s="339">
        <f>'LPR (AR)'!E15/100*POP!E16</f>
        <v>2477.1487985209124</v>
      </c>
      <c r="F13" s="339">
        <f>'LPR (AR)'!F15/100*POP!F16</f>
        <v>2456.2095174915225</v>
      </c>
      <c r="G13" s="339">
        <f>'LPR (AR)'!G15/100*POP!G16</f>
        <v>2410.2621228350017</v>
      </c>
      <c r="H13" s="339">
        <f>'LPR (AR)'!H15/100*POP!H16</f>
        <v>2364.178272120369</v>
      </c>
      <c r="I13" s="344">
        <f>'LPR (AR)'!I15/100*POP!I16</f>
        <v>2308.8034307573203</v>
      </c>
      <c r="J13" s="340">
        <f>'LPR (AR)'!J15/100*POP!J16</f>
        <v>2249.067575680154</v>
      </c>
      <c r="K13" s="340">
        <f>'LPR (AR)'!K15/100*POP!K16</f>
        <v>2192.088673649229</v>
      </c>
      <c r="L13" s="340">
        <f>'LPR (AR)'!L15/100*POP!L16</f>
        <v>2143.182700283511</v>
      </c>
      <c r="M13" s="340">
        <f>'LPR (AR)'!M15/100*POP!M16</f>
        <v>2103.014331437026</v>
      </c>
      <c r="N13" s="340">
        <f>'LPR (AR)'!N15/100*POP!N16</f>
        <v>2070.6510015897866</v>
      </c>
      <c r="O13" s="340">
        <f>'LPR (AR)'!O15/100*POP!O16</f>
        <v>2047.7007569951354</v>
      </c>
      <c r="P13" s="340">
        <f>'LPR (AR)'!P15/100*POP!P16</f>
        <v>2035.6743084921338</v>
      </c>
      <c r="Q13" s="345">
        <f>'LPR (AR)'!Q15/100*POP!Q16</f>
        <v>2035.104698759232</v>
      </c>
    </row>
    <row r="14" spans="1:17" ht="15">
      <c r="A14" s="154" t="s">
        <v>9</v>
      </c>
      <c r="B14" s="355">
        <f>'LPR (AR)'!B16/100*POP!B17</f>
        <v>2628.7844725820582</v>
      </c>
      <c r="C14" s="339">
        <f>'LPR (AR)'!C16/100*POP!C17</f>
        <v>2619.7587996089355</v>
      </c>
      <c r="D14" s="339">
        <f>'LPR (AR)'!D16/100*POP!D17</f>
        <v>2603.57823436288</v>
      </c>
      <c r="E14" s="339">
        <f>'LPR (AR)'!E16/100*POP!E17</f>
        <v>2563.532191099936</v>
      </c>
      <c r="F14" s="339">
        <f>'LPR (AR)'!F16/100*POP!F17</f>
        <v>2523.5873574844377</v>
      </c>
      <c r="G14" s="339">
        <f>'LPR (AR)'!G16/100*POP!G17</f>
        <v>2494.4850527317126</v>
      </c>
      <c r="H14" s="339">
        <f>'LPR (AR)'!H16/100*POP!H17</f>
        <v>2472.807221986063</v>
      </c>
      <c r="I14" s="344">
        <f>'LPR (AR)'!I16/100*POP!I17</f>
        <v>2457.2686656388696</v>
      </c>
      <c r="J14" s="340">
        <f>'LPR (AR)'!J16/100*POP!J17</f>
        <v>2443.4715162020834</v>
      </c>
      <c r="K14" s="340">
        <f>'LPR (AR)'!K16/100*POP!K17</f>
        <v>2423.3486815072056</v>
      </c>
      <c r="L14" s="340">
        <f>'LPR (AR)'!L16/100*POP!L17</f>
        <v>2391.612386269571</v>
      </c>
      <c r="M14" s="340">
        <f>'LPR (AR)'!M16/100*POP!M17</f>
        <v>2347.018399009561</v>
      </c>
      <c r="N14" s="340">
        <f>'LPR (AR)'!N16/100*POP!N17</f>
        <v>2292.9794642907455</v>
      </c>
      <c r="O14" s="340">
        <f>'LPR (AR)'!O16/100*POP!O17</f>
        <v>2234.5479089187847</v>
      </c>
      <c r="P14" s="340">
        <f>'LPR (AR)'!P16/100*POP!P17</f>
        <v>2178.7944692574556</v>
      </c>
      <c r="Q14" s="345">
        <f>'LPR (AR)'!Q16/100*POP!Q17</f>
        <v>2131.0076653363362</v>
      </c>
    </row>
    <row r="15" spans="1:17" ht="15">
      <c r="A15" s="154" t="s">
        <v>10</v>
      </c>
      <c r="B15" s="355">
        <f>'LPR (AR)'!B17/100*POP!B18</f>
        <v>2419.410834592624</v>
      </c>
      <c r="C15" s="339">
        <f>'LPR (AR)'!C17/100*POP!C18</f>
        <v>2474.771180566949</v>
      </c>
      <c r="D15" s="339">
        <f>'LPR (AR)'!D17/100*POP!D18</f>
        <v>2529.2074653029013</v>
      </c>
      <c r="E15" s="339">
        <f>'LPR (AR)'!E17/100*POP!E18</f>
        <v>2559.7449850290363</v>
      </c>
      <c r="F15" s="339">
        <f>'LPR (AR)'!F17/100*POP!F18</f>
        <v>2586.5668902839247</v>
      </c>
      <c r="G15" s="339">
        <f>'LPR (AR)'!G17/100*POP!G18</f>
        <v>2580.424700639108</v>
      </c>
      <c r="H15" s="339">
        <f>'LPR (AR)'!H17/100*POP!H18</f>
        <v>2567.027112968449</v>
      </c>
      <c r="I15" s="344">
        <f>'LPR (AR)'!I17/100*POP!I18</f>
        <v>2538.7089559896162</v>
      </c>
      <c r="J15" s="340">
        <f>'LPR (AR)'!J17/100*POP!J18</f>
        <v>2501.81365575114</v>
      </c>
      <c r="K15" s="340">
        <f>'LPR (AR)'!K17/100*POP!K18</f>
        <v>2465.136584459415</v>
      </c>
      <c r="L15" s="340">
        <f>'LPR (AR)'!L17/100*POP!L18</f>
        <v>2434.749932987562</v>
      </c>
      <c r="M15" s="340">
        <f>'LPR (AR)'!M17/100*POP!M18</f>
        <v>2413.6264576302856</v>
      </c>
      <c r="N15" s="340">
        <f>'LPR (AR)'!N17/100*POP!N18</f>
        <v>2399.537348948914</v>
      </c>
      <c r="O15" s="340">
        <f>'LPR (AR)'!O17/100*POP!O18</f>
        <v>2387.0992407883855</v>
      </c>
      <c r="P15" s="340">
        <f>'LPR (AR)'!P17/100*POP!P18</f>
        <v>2368.4321520475137</v>
      </c>
      <c r="Q15" s="345">
        <f>'LPR (AR)'!Q17/100*POP!Q18</f>
        <v>2338.3645369399187</v>
      </c>
    </row>
    <row r="16" spans="1:17" ht="15">
      <c r="A16" s="154" t="s">
        <v>11</v>
      </c>
      <c r="B16" s="355">
        <f>'LPR (AR)'!B18/100*POP!B19</f>
        <v>2080.824335210957</v>
      </c>
      <c r="C16" s="339">
        <f>'LPR (AR)'!C18/100*POP!C19</f>
        <v>2148.2663345392807</v>
      </c>
      <c r="D16" s="339">
        <f>'LPR (AR)'!D18/100*POP!D19</f>
        <v>2213.6100465223612</v>
      </c>
      <c r="E16" s="339">
        <f>'LPR (AR)'!E18/100*POP!E19</f>
        <v>2266.715229941724</v>
      </c>
      <c r="F16" s="339">
        <f>'LPR (AR)'!F18/100*POP!F19</f>
        <v>2318.9071909737827</v>
      </c>
      <c r="G16" s="339">
        <f>'LPR (AR)'!G18/100*POP!G19</f>
        <v>2362.148283797644</v>
      </c>
      <c r="H16" s="339">
        <f>'LPR (AR)'!H18/100*POP!H19</f>
        <v>2404.3526253278387</v>
      </c>
      <c r="I16" s="344">
        <f>'LPR (AR)'!I18/100*POP!I19</f>
        <v>2443.100717703362</v>
      </c>
      <c r="J16" s="340">
        <f>'LPR (AR)'!J18/100*POP!J19</f>
        <v>2474.4952253030415</v>
      </c>
      <c r="K16" s="340">
        <f>'LPR (AR)'!K18/100*POP!K19</f>
        <v>2494.0213398976616</v>
      </c>
      <c r="L16" s="340">
        <f>'LPR (AR)'!L18/100*POP!L19</f>
        <v>2498.9370384217136</v>
      </c>
      <c r="M16" s="340">
        <f>'LPR (AR)'!M18/100*POP!M19</f>
        <v>2487.2655830945328</v>
      </c>
      <c r="N16" s="340">
        <f>'LPR (AR)'!N18/100*POP!N19</f>
        <v>2461.0562323001554</v>
      </c>
      <c r="O16" s="340">
        <f>'LPR (AR)'!O18/100*POP!O19</f>
        <v>2426.493293226127</v>
      </c>
      <c r="P16" s="340">
        <f>'LPR (AR)'!P18/100*POP!P19</f>
        <v>2392.101377777316</v>
      </c>
      <c r="Q16" s="345">
        <f>'LPR (AR)'!Q18/100*POP!Q19</f>
        <v>2363.7700810894808</v>
      </c>
    </row>
    <row r="17" spans="1:17" ht="15">
      <c r="A17" s="154" t="s">
        <v>12</v>
      </c>
      <c r="B17" s="355">
        <f>'LPR (AR)'!B19/100*POP!B20</f>
        <v>1655.7658575561213</v>
      </c>
      <c r="C17" s="339">
        <f>'LPR (AR)'!C19/100*POP!C20</f>
        <v>1725.8372276429557</v>
      </c>
      <c r="D17" s="339">
        <f>'LPR (AR)'!D19/100*POP!D20</f>
        <v>1813.8310454816612</v>
      </c>
      <c r="E17" s="339">
        <f>'LPR (AR)'!E19/100*POP!E20</f>
        <v>1873.8602375714913</v>
      </c>
      <c r="F17" s="339">
        <f>'LPR (AR)'!F19/100*POP!F20</f>
        <v>1927.5109409897943</v>
      </c>
      <c r="G17" s="339">
        <f>'LPR (AR)'!G19/100*POP!G20</f>
        <v>1983.588817686371</v>
      </c>
      <c r="H17" s="339">
        <f>'LPR (AR)'!H19/100*POP!H20</f>
        <v>2036.1194868060745</v>
      </c>
      <c r="I17" s="344">
        <f>'LPR (AR)'!I19/100*POP!I20</f>
        <v>2088.5715877422995</v>
      </c>
      <c r="J17" s="340">
        <f>'LPR (AR)'!J19/100*POP!J20</f>
        <v>2139.7451309013336</v>
      </c>
      <c r="K17" s="340">
        <f>'LPR (AR)'!K19/100*POP!K20</f>
        <v>2188.362841558782</v>
      </c>
      <c r="L17" s="340">
        <f>'LPR (AR)'!L19/100*POP!L20</f>
        <v>2233.228705140619</v>
      </c>
      <c r="M17" s="340">
        <f>'LPR (AR)'!M19/100*POP!M20</f>
        <v>2274.938066912368</v>
      </c>
      <c r="N17" s="340">
        <f>'LPR (AR)'!N19/100*POP!N20</f>
        <v>2313.0426521391287</v>
      </c>
      <c r="O17" s="340">
        <f>'LPR (AR)'!O19/100*POP!O20</f>
        <v>2344.179058658809</v>
      </c>
      <c r="P17" s="340">
        <f>'LPR (AR)'!P19/100*POP!P20</f>
        <v>2364.047070345887</v>
      </c>
      <c r="Q17" s="345">
        <f>'LPR (AR)'!Q19/100*POP!Q20</f>
        <v>2370.029420136279</v>
      </c>
    </row>
    <row r="18" spans="1:17" ht="15">
      <c r="A18" s="154" t="s">
        <v>13</v>
      </c>
      <c r="B18" s="355">
        <f>'LPR (AR)'!B20/100*POP!B21</f>
        <v>1172.0912446508296</v>
      </c>
      <c r="C18" s="339">
        <f>'LPR (AR)'!C20/100*POP!C21</f>
        <v>1235.5797937977636</v>
      </c>
      <c r="D18" s="339">
        <f>'LPR (AR)'!D20/100*POP!D21</f>
        <v>1317.776834198071</v>
      </c>
      <c r="E18" s="339">
        <f>'LPR (AR)'!E20/100*POP!E21</f>
        <v>1397.9825775422382</v>
      </c>
      <c r="F18" s="339">
        <f>'LPR (AR)'!F20/100*POP!F21</f>
        <v>1465.3549015261397</v>
      </c>
      <c r="G18" s="339">
        <f>'LPR (AR)'!G20/100*POP!G21</f>
        <v>1530.4595865818512</v>
      </c>
      <c r="H18" s="339">
        <f>'LPR (AR)'!H20/100*POP!H21</f>
        <v>1588.593394251306</v>
      </c>
      <c r="I18" s="344">
        <f>'LPR (AR)'!I20/100*POP!I21</f>
        <v>1640.8257548140484</v>
      </c>
      <c r="J18" s="340">
        <f>'LPR (AR)'!J20/100*POP!J21</f>
        <v>1688.6371082636258</v>
      </c>
      <c r="K18" s="340">
        <f>'LPR (AR)'!K20/100*POP!K21</f>
        <v>1735.4087842963027</v>
      </c>
      <c r="L18" s="340">
        <f>'LPR (AR)'!L20/100*POP!L21</f>
        <v>1783.34657362568</v>
      </c>
      <c r="M18" s="340">
        <f>'LPR (AR)'!M20/100*POP!M21</f>
        <v>1832.3717786647435</v>
      </c>
      <c r="N18" s="340">
        <f>'LPR (AR)'!N20/100*POP!N21</f>
        <v>1881.079170307245</v>
      </c>
      <c r="O18" s="340">
        <f>'LPR (AR)'!O20/100*POP!O21</f>
        <v>1928.6628038922836</v>
      </c>
      <c r="P18" s="340">
        <f>'LPR (AR)'!P20/100*POP!P21</f>
        <v>1973.974530596731</v>
      </c>
      <c r="Q18" s="345">
        <f>'LPR (AR)'!Q20/100*POP!Q21</f>
        <v>2015.9341077149993</v>
      </c>
    </row>
    <row r="19" spans="1:17" ht="15">
      <c r="A19" s="154" t="s">
        <v>14</v>
      </c>
      <c r="B19" s="355">
        <f>'LPR (AR)'!B21/100*POP!B22</f>
        <v>742.2628657065699</v>
      </c>
      <c r="C19" s="339">
        <f>'LPR (AR)'!C21/100*POP!C22</f>
        <v>762.079581790159</v>
      </c>
      <c r="D19" s="339">
        <f>'LPR (AR)'!D21/100*POP!D22</f>
        <v>813.0488499443414</v>
      </c>
      <c r="E19" s="339">
        <f>'LPR (AR)'!E21/100*POP!E22</f>
        <v>831.5374943197656</v>
      </c>
      <c r="F19" s="339">
        <f>'LPR (AR)'!F21/100*POP!F22</f>
        <v>865.9048316844935</v>
      </c>
      <c r="G19" s="339">
        <f>'LPR (AR)'!G21/100*POP!G22</f>
        <v>895.6297094980082</v>
      </c>
      <c r="H19" s="339">
        <f>'LPR (AR)'!H21/100*POP!H22</f>
        <v>945.3557117174598</v>
      </c>
      <c r="I19" s="344">
        <f>'LPR (AR)'!I21/100*POP!I22</f>
        <v>1001.6364079149946</v>
      </c>
      <c r="J19" s="340">
        <f>'LPR (AR)'!J21/100*POP!J22</f>
        <v>1061.001183132612</v>
      </c>
      <c r="K19" s="340">
        <f>'LPR (AR)'!K21/100*POP!K22</f>
        <v>1118.5679173958354</v>
      </c>
      <c r="L19" s="340">
        <f>'LPR (AR)'!L21/100*POP!L22</f>
        <v>1171.0505824871946</v>
      </c>
      <c r="M19" s="340">
        <f>'LPR (AR)'!M21/100*POP!M22</f>
        <v>1217.341226866964</v>
      </c>
      <c r="N19" s="340">
        <f>'LPR (AR)'!N21/100*POP!N22</f>
        <v>1258.5761366749523</v>
      </c>
      <c r="O19" s="340">
        <f>'LPR (AR)'!O21/100*POP!O22</f>
        <v>1296.493194858263</v>
      </c>
      <c r="P19" s="340">
        <f>'LPR (AR)'!P21/100*POP!P22</f>
        <v>1333.6723966437364</v>
      </c>
      <c r="Q19" s="345">
        <f>'LPR (AR)'!Q21/100*POP!Q22</f>
        <v>1371.7943646483461</v>
      </c>
    </row>
    <row r="20" spans="1:17" ht="15">
      <c r="A20" s="154" t="s">
        <v>198</v>
      </c>
      <c r="B20" s="357">
        <f>'LPR (AR)'!B22/100*POP!B23</f>
        <v>872.7770753143584</v>
      </c>
      <c r="C20" s="358">
        <f>'LPR (AR)'!C22/100*POP!C23</f>
        <v>875.7125196515857</v>
      </c>
      <c r="D20" s="358">
        <f>'LPR (AR)'!D22/100*POP!D23</f>
        <v>931.9665852579083</v>
      </c>
      <c r="E20" s="358">
        <f>'LPR (AR)'!E22/100*POP!E23</f>
        <v>949.3827391108546</v>
      </c>
      <c r="F20" s="358">
        <f>'LPR (AR)'!F22/100*POP!F23</f>
        <v>989.5946944869514</v>
      </c>
      <c r="G20" s="358">
        <f>'LPR (AR)'!G22/100*POP!G23</f>
        <v>974.1810858849805</v>
      </c>
      <c r="H20" s="358">
        <f>'LPR (AR)'!H22/100*POP!H23</f>
        <v>1006.1355823283429</v>
      </c>
      <c r="I20" s="346">
        <f>'LPR (AR)'!I22/100*POP!I23</f>
        <v>1039.356794406774</v>
      </c>
      <c r="J20" s="347">
        <f>'LPR (AR)'!J22/100*POP!J23</f>
        <v>1074.8502914178566</v>
      </c>
      <c r="K20" s="347">
        <f>'LPR (AR)'!K22/100*POP!K23</f>
        <v>1113.9374719607513</v>
      </c>
      <c r="L20" s="347">
        <f>'LPR (AR)'!L22/100*POP!L23</f>
        <v>1157.4468878340288</v>
      </c>
      <c r="M20" s="347">
        <f>'LPR (AR)'!M22/100*POP!M23</f>
        <v>1205.623868555331</v>
      </c>
      <c r="N20" s="347">
        <f>'LPR (AR)'!N22/100*POP!N23</f>
        <v>1257.9868793732435</v>
      </c>
      <c r="O20" s="347">
        <f>'LPR (AR)'!O22/100*POP!O23</f>
        <v>1313.7257445280243</v>
      </c>
      <c r="P20" s="347">
        <f>'LPR (AR)'!P22/100*POP!P23</f>
        <v>1371.7247284458</v>
      </c>
      <c r="Q20" s="348">
        <f>'LPR (AR)'!Q22/100*POP!Q23</f>
        <v>1431.1745649737927</v>
      </c>
    </row>
    <row r="21" spans="1:17" ht="15">
      <c r="A21" s="304" t="s">
        <v>15</v>
      </c>
      <c r="B21" s="305">
        <f>SUM(B10:B20)</f>
        <v>19079.70280168327</v>
      </c>
      <c r="C21" s="305">
        <f aca="true" t="shared" si="0" ref="C21:Q21">SUM(C10:C20)</f>
        <v>19177.40182164432</v>
      </c>
      <c r="D21" s="305">
        <f t="shared" si="0"/>
        <v>19506.68775406033</v>
      </c>
      <c r="E21" s="305">
        <f t="shared" si="0"/>
        <v>19687.567153988995</v>
      </c>
      <c r="F21" s="305">
        <f t="shared" si="0"/>
        <v>19855.319818050615</v>
      </c>
      <c r="G21" s="305">
        <f t="shared" si="0"/>
        <v>19860.97448611815</v>
      </c>
      <c r="H21" s="306">
        <f t="shared" si="0"/>
        <v>19971.482589442538</v>
      </c>
      <c r="I21" s="305">
        <f t="shared" si="0"/>
        <v>20076.556874095582</v>
      </c>
      <c r="J21" s="305">
        <f t="shared" si="0"/>
        <v>20174.3880630712</v>
      </c>
      <c r="K21" s="305">
        <f t="shared" si="0"/>
        <v>20262.86677472415</v>
      </c>
      <c r="L21" s="305">
        <f t="shared" si="0"/>
        <v>20340.425348245208</v>
      </c>
      <c r="M21" s="305">
        <f t="shared" si="0"/>
        <v>20406.733262860052</v>
      </c>
      <c r="N21" s="305">
        <f t="shared" si="0"/>
        <v>20462.086984316826</v>
      </c>
      <c r="O21" s="305">
        <f t="shared" si="0"/>
        <v>20506.311643916524</v>
      </c>
      <c r="P21" s="305">
        <f t="shared" si="0"/>
        <v>20539.23129840941</v>
      </c>
      <c r="Q21" s="305">
        <f t="shared" si="0"/>
        <v>20560.657363884526</v>
      </c>
    </row>
    <row r="23" spans="1:9" ht="17.25">
      <c r="A23" s="596" t="s">
        <v>98</v>
      </c>
      <c r="B23" s="596"/>
      <c r="C23" s="596"/>
      <c r="D23" s="596"/>
      <c r="E23" s="596"/>
      <c r="F23" s="596"/>
      <c r="G23" s="596"/>
      <c r="H23" s="596"/>
      <c r="I23" s="596"/>
    </row>
    <row r="24" spans="1:17" ht="15">
      <c r="A24" s="302" t="s">
        <v>1</v>
      </c>
      <c r="B24" s="300">
        <v>2005</v>
      </c>
      <c r="C24" s="300">
        <v>2006</v>
      </c>
      <c r="D24" s="300">
        <v>2007</v>
      </c>
      <c r="E24" s="300">
        <v>2008</v>
      </c>
      <c r="F24" s="300">
        <v>2009</v>
      </c>
      <c r="G24" s="300">
        <v>2010</v>
      </c>
      <c r="H24" s="303">
        <v>2011</v>
      </c>
      <c r="I24" s="300">
        <v>2012</v>
      </c>
      <c r="J24" s="300">
        <v>2013</v>
      </c>
      <c r="K24" s="300">
        <v>2014</v>
      </c>
      <c r="L24" s="300">
        <v>2015</v>
      </c>
      <c r="M24" s="300">
        <v>2016</v>
      </c>
      <c r="N24" s="300">
        <v>2017</v>
      </c>
      <c r="O24" s="300">
        <v>2018</v>
      </c>
      <c r="P24" s="300">
        <v>2019</v>
      </c>
      <c r="Q24" s="300">
        <v>2020</v>
      </c>
    </row>
    <row r="25" spans="1:17" ht="15">
      <c r="A25" s="153" t="s">
        <v>5</v>
      </c>
      <c r="B25" s="352">
        <f>'LPR (AR)'!B30/100*POP!B31</f>
        <v>541.1489554250505</v>
      </c>
      <c r="C25" s="353">
        <f>'LPR (AR)'!C30/100*POP!C31</f>
        <v>469.34455470467236</v>
      </c>
      <c r="D25" s="353">
        <f>'LPR (AR)'!D30/100*POP!D31</f>
        <v>460.9732668227946</v>
      </c>
      <c r="E25" s="353">
        <f>'LPR (AR)'!E30/100*POP!E31</f>
        <v>448.47946374294565</v>
      </c>
      <c r="F25" s="353">
        <f>'LPR (AR)'!F30/100*POP!F31</f>
        <v>445.3482584124404</v>
      </c>
      <c r="G25" s="353">
        <f>'LPR (AR)'!G30/100*POP!G31</f>
        <v>425.7292334172134</v>
      </c>
      <c r="H25" s="353">
        <f>'LPR (AR)'!H30/100*POP!H31</f>
        <v>418.2773961871832</v>
      </c>
      <c r="I25" s="341">
        <f>'LPR (AR)'!I30/100*POP!I31</f>
        <v>409.1641776987511</v>
      </c>
      <c r="J25" s="342">
        <f>'LPR (AR)'!J30/100*POP!J31</f>
        <v>398.6668646248133</v>
      </c>
      <c r="K25" s="342">
        <f>'LPR (AR)'!K30/100*POP!K31</f>
        <v>387.25718075149285</v>
      </c>
      <c r="L25" s="342">
        <f>'LPR (AR)'!L30/100*POP!L31</f>
        <v>375.2951845412163</v>
      </c>
      <c r="M25" s="342">
        <f>'LPR (AR)'!M30/100*POP!M31</f>
        <v>362.81433963096913</v>
      </c>
      <c r="N25" s="342">
        <f>'LPR (AR)'!N30/100*POP!N31</f>
        <v>349.7824919749843</v>
      </c>
      <c r="O25" s="342">
        <f>'LPR (AR)'!O30/100*POP!O31</f>
        <v>336.4265332692143</v>
      </c>
      <c r="P25" s="342">
        <f>'LPR (AR)'!P30/100*POP!P31</f>
        <v>322.98370289739523</v>
      </c>
      <c r="Q25" s="343">
        <f>'LPR (AR)'!Q30/100*POP!Q31</f>
        <v>309.6329848476826</v>
      </c>
    </row>
    <row r="26" spans="1:17" ht="15">
      <c r="A26" s="154" t="s">
        <v>6</v>
      </c>
      <c r="B26" s="355">
        <f>'LPR (AR)'!B31/100*POP!B32</f>
        <v>1440.1461484845315</v>
      </c>
      <c r="C26" s="339">
        <f>'LPR (AR)'!C31/100*POP!C32</f>
        <v>1352.431240420374</v>
      </c>
      <c r="D26" s="339">
        <f>'LPR (AR)'!D31/100*POP!D32</f>
        <v>1339.1445580474046</v>
      </c>
      <c r="E26" s="339">
        <f>'LPR (AR)'!E31/100*POP!E32</f>
        <v>1342.6916936540229</v>
      </c>
      <c r="F26" s="339">
        <f>'LPR (AR)'!F31/100*POP!F32</f>
        <v>1355.3929690913988</v>
      </c>
      <c r="G26" s="339">
        <f>'LPR (AR)'!G31/100*POP!G32</f>
        <v>1315.6175844404456</v>
      </c>
      <c r="H26" s="339">
        <f>'LPR (AR)'!H31/100*POP!H32</f>
        <v>1319.5660083052596</v>
      </c>
      <c r="I26" s="344">
        <f>'LPR (AR)'!I31/100*POP!I32</f>
        <v>1330.96715518693</v>
      </c>
      <c r="J26" s="340">
        <f>'LPR (AR)'!J31/100*POP!J32</f>
        <v>1346.172560459015</v>
      </c>
      <c r="K26" s="340">
        <f>'LPR (AR)'!K31/100*POP!K32</f>
        <v>1360.242251209193</v>
      </c>
      <c r="L26" s="340">
        <f>'LPR (AR)'!L31/100*POP!L32</f>
        <v>1369.5253210725589</v>
      </c>
      <c r="M26" s="340">
        <f>'LPR (AR)'!M31/100*POP!M32</f>
        <v>1372.7502379484963</v>
      </c>
      <c r="N26" s="340">
        <f>'LPR (AR)'!N31/100*POP!N32</f>
        <v>1370.538446623214</v>
      </c>
      <c r="O26" s="340">
        <f>'LPR (AR)'!O31/100*POP!O32</f>
        <v>1363.4950422905617</v>
      </c>
      <c r="P26" s="340">
        <f>'LPR (AR)'!P31/100*POP!P32</f>
        <v>1352.9559302831422</v>
      </c>
      <c r="Q26" s="345">
        <f>'LPR (AR)'!Q31/100*POP!Q32</f>
        <v>1339.9758946081602</v>
      </c>
    </row>
    <row r="27" spans="1:17" ht="15">
      <c r="A27" s="154" t="s">
        <v>7</v>
      </c>
      <c r="B27" s="355">
        <f>'LPR (AR)'!B32/100*POP!B33</f>
        <v>2110.776424897393</v>
      </c>
      <c r="C27" s="339">
        <f>'LPR (AR)'!C32/100*POP!C33</f>
        <v>2038.7466310727748</v>
      </c>
      <c r="D27" s="339">
        <f>'LPR (AR)'!D32/100*POP!D33</f>
        <v>2001.9008952625074</v>
      </c>
      <c r="E27" s="339">
        <f>'LPR (AR)'!E32/100*POP!E33</f>
        <v>1974.4715742167753</v>
      </c>
      <c r="F27" s="339">
        <f>'LPR (AR)'!F32/100*POP!F33</f>
        <v>1885.595050052762</v>
      </c>
      <c r="G27" s="339">
        <f>'LPR (AR)'!G32/100*POP!G33</f>
        <v>1837.049733627004</v>
      </c>
      <c r="H27" s="339">
        <f>'LPR (AR)'!H32/100*POP!H33</f>
        <v>1796.4524643738093</v>
      </c>
      <c r="I27" s="344">
        <f>'LPR (AR)'!I32/100*POP!I33</f>
        <v>1762.9019977533426</v>
      </c>
      <c r="J27" s="340">
        <f>'LPR (AR)'!J32/100*POP!J33</f>
        <v>1737.752461159132</v>
      </c>
      <c r="K27" s="340">
        <f>'LPR (AR)'!K32/100*POP!K33</f>
        <v>1722.178971740922</v>
      </c>
      <c r="L27" s="340">
        <f>'LPR (AR)'!L32/100*POP!L33</f>
        <v>1716.5571609690612</v>
      </c>
      <c r="M27" s="340">
        <f>'LPR (AR)'!M32/100*POP!M33</f>
        <v>1721.893852905014</v>
      </c>
      <c r="N27" s="340">
        <f>'LPR (AR)'!N32/100*POP!N33</f>
        <v>1736.9474649460046</v>
      </c>
      <c r="O27" s="340">
        <f>'LPR (AR)'!O32/100*POP!O33</f>
        <v>1756.9573606862145</v>
      </c>
      <c r="P27" s="340">
        <f>'LPR (AR)'!P32/100*POP!P33</f>
        <v>1775.4776379539887</v>
      </c>
      <c r="Q27" s="345">
        <f>'LPR (AR)'!Q32/100*POP!Q33</f>
        <v>1787.7446916538624</v>
      </c>
    </row>
    <row r="28" spans="1:17" ht="15">
      <c r="A28" s="154" t="s">
        <v>8</v>
      </c>
      <c r="B28" s="355">
        <f>'LPR (AR)'!B33/100*POP!B34</f>
        <v>2267.7138947184235</v>
      </c>
      <c r="C28" s="339">
        <f>'LPR (AR)'!C33/100*POP!C34</f>
        <v>2236.726102402414</v>
      </c>
      <c r="D28" s="339">
        <f>'LPR (AR)'!D33/100*POP!D34</f>
        <v>2231.6084191800687</v>
      </c>
      <c r="E28" s="339">
        <f>'LPR (AR)'!E33/100*POP!E34</f>
        <v>2243.888373481147</v>
      </c>
      <c r="F28" s="339">
        <f>'LPR (AR)'!F33/100*POP!F34</f>
        <v>2233.8681344183487</v>
      </c>
      <c r="G28" s="339">
        <f>'LPR (AR)'!G33/100*POP!G34</f>
        <v>2184.913651777497</v>
      </c>
      <c r="H28" s="339">
        <f>'LPR (AR)'!H33/100*POP!H34</f>
        <v>2139.9745921265458</v>
      </c>
      <c r="I28" s="344">
        <f>'LPR (AR)'!I33/100*POP!I34</f>
        <v>2085.193776720594</v>
      </c>
      <c r="J28" s="340">
        <f>'LPR (AR)'!J33/100*POP!J34</f>
        <v>2025.487567505739</v>
      </c>
      <c r="K28" s="340">
        <f>'LPR (AR)'!K33/100*POP!K34</f>
        <v>1967.8419595494154</v>
      </c>
      <c r="L28" s="340">
        <f>'LPR (AR)'!L33/100*POP!L34</f>
        <v>1917.5416934416448</v>
      </c>
      <c r="M28" s="340">
        <f>'LPR (AR)'!M33/100*POP!M34</f>
        <v>1875.4294269400054</v>
      </c>
      <c r="N28" s="340">
        <f>'LPR (AR)'!N33/100*POP!N34</f>
        <v>1840.6550153015894</v>
      </c>
      <c r="O28" s="340">
        <f>'LPR (AR)'!O33/100*POP!O34</f>
        <v>1814.6374007756804</v>
      </c>
      <c r="P28" s="340">
        <f>'LPR (AR)'!P33/100*POP!P34</f>
        <v>1798.609248211572</v>
      </c>
      <c r="Q28" s="345">
        <f>'LPR (AR)'!Q33/100*POP!Q34</f>
        <v>1792.9672081932817</v>
      </c>
    </row>
    <row r="29" spans="1:17" ht="15">
      <c r="A29" s="154" t="s">
        <v>9</v>
      </c>
      <c r="B29" s="355">
        <f>'LPR (AR)'!B34/100*POP!B35</f>
        <v>2422.791690953907</v>
      </c>
      <c r="C29" s="339">
        <f>'LPR (AR)'!C34/100*POP!C35</f>
        <v>2395.4650818459654</v>
      </c>
      <c r="D29" s="339">
        <f>'LPR (AR)'!D34/100*POP!D35</f>
        <v>2404.813727864402</v>
      </c>
      <c r="E29" s="339">
        <f>'LPR (AR)'!E34/100*POP!E35</f>
        <v>2385.456558868921</v>
      </c>
      <c r="F29" s="339">
        <f>'LPR (AR)'!F34/100*POP!F35</f>
        <v>2351.821066781638</v>
      </c>
      <c r="G29" s="339">
        <f>'LPR (AR)'!G34/100*POP!G35</f>
        <v>2337.031603884493</v>
      </c>
      <c r="H29" s="339">
        <f>'LPR (AR)'!H34/100*POP!H35</f>
        <v>2315.035858467734</v>
      </c>
      <c r="I29" s="344">
        <f>'LPR (AR)'!I34/100*POP!I35</f>
        <v>2299.9308421367787</v>
      </c>
      <c r="J29" s="340">
        <f>'LPR (AR)'!J34/100*POP!J35</f>
        <v>2286.272898827309</v>
      </c>
      <c r="K29" s="340">
        <f>'LPR (AR)'!K34/100*POP!K35</f>
        <v>2266.003781293724</v>
      </c>
      <c r="L29" s="340">
        <f>'LPR (AR)'!L34/100*POP!L35</f>
        <v>2233.761977918515</v>
      </c>
      <c r="M29" s="340">
        <f>'LPR (AR)'!M34/100*POP!M35</f>
        <v>2188.152030728302</v>
      </c>
      <c r="N29" s="340">
        <f>'LPR (AR)'!N34/100*POP!N35</f>
        <v>2132.4562863997808</v>
      </c>
      <c r="O29" s="340">
        <f>'LPR (AR)'!O34/100*POP!O35</f>
        <v>2071.700352501252</v>
      </c>
      <c r="P29" s="340">
        <f>'LPR (AR)'!P34/100*POP!P35</f>
        <v>2013.0288349109303</v>
      </c>
      <c r="Q29" s="345">
        <f>'LPR (AR)'!Q34/100*POP!Q35</f>
        <v>1961.8493041350143</v>
      </c>
    </row>
    <row r="30" spans="1:17" ht="15">
      <c r="A30" s="154" t="s">
        <v>10</v>
      </c>
      <c r="B30" s="355">
        <f>'LPR (AR)'!B35/100*POP!B36</f>
        <v>2230.0296920257233</v>
      </c>
      <c r="C30" s="339">
        <f>'LPR (AR)'!C35/100*POP!C36</f>
        <v>2265.365001338606</v>
      </c>
      <c r="D30" s="339">
        <f>'LPR (AR)'!D35/100*POP!D36</f>
        <v>2330.1044970870466</v>
      </c>
      <c r="E30" s="339">
        <f>'LPR (AR)'!E35/100*POP!E36</f>
        <v>2388.5992653989506</v>
      </c>
      <c r="F30" s="339">
        <f>'LPR (AR)'!F35/100*POP!F36</f>
        <v>2419.985722338089</v>
      </c>
      <c r="G30" s="339">
        <f>'LPR (AR)'!G35/100*POP!G36</f>
        <v>2437.0922955938195</v>
      </c>
      <c r="H30" s="339">
        <f>'LPR (AR)'!H35/100*POP!H36</f>
        <v>2425.498412549247</v>
      </c>
      <c r="I30" s="344">
        <f>'LPR (AR)'!I35/100*POP!I36</f>
        <v>2398.6901032899614</v>
      </c>
      <c r="J30" s="340">
        <f>'LPR (AR)'!J35/100*POP!J36</f>
        <v>2362.9353251422094</v>
      </c>
      <c r="K30" s="340">
        <f>'LPR (AR)'!K35/100*POP!K36</f>
        <v>2326.9648873421224</v>
      </c>
      <c r="L30" s="340">
        <f>'LPR (AR)'!L35/100*POP!L36</f>
        <v>2296.8619828126434</v>
      </c>
      <c r="M30" s="340">
        <f>'LPR (AR)'!M35/100*POP!M36</f>
        <v>2275.6636696035757</v>
      </c>
      <c r="N30" s="340">
        <f>'LPR (AR)'!N35/100*POP!N36</f>
        <v>2261.21703759408</v>
      </c>
      <c r="O30" s="340">
        <f>'LPR (AR)'!O35/100*POP!O36</f>
        <v>2248.170493755041</v>
      </c>
      <c r="P30" s="340">
        <f>'LPR (AR)'!P35/100*POP!P36</f>
        <v>2228.600290262567</v>
      </c>
      <c r="Q30" s="345">
        <f>'LPR (AR)'!Q35/100*POP!Q36</f>
        <v>2197.2328347221796</v>
      </c>
    </row>
    <row r="31" spans="1:17" ht="15">
      <c r="A31" s="154" t="s">
        <v>11</v>
      </c>
      <c r="B31" s="355">
        <f>'LPR (AR)'!B36/100*POP!B37</f>
        <v>1878.218741982621</v>
      </c>
      <c r="C31" s="339">
        <f>'LPR (AR)'!C36/100*POP!C37</f>
        <v>1915.0955133094683</v>
      </c>
      <c r="D31" s="339">
        <f>'LPR (AR)'!D36/100*POP!D37</f>
        <v>1998.0057836353435</v>
      </c>
      <c r="E31" s="339">
        <f>'LPR (AR)'!E36/100*POP!E37</f>
        <v>2064.765246979062</v>
      </c>
      <c r="F31" s="339">
        <f>'LPR (AR)'!F36/100*POP!F37</f>
        <v>2127.3818420328007</v>
      </c>
      <c r="G31" s="339">
        <f>'LPR (AR)'!G36/100*POP!G37</f>
        <v>2169.3533057827212</v>
      </c>
      <c r="H31" s="339">
        <f>'LPR (AR)'!H36/100*POP!H37</f>
        <v>2211.910578653907</v>
      </c>
      <c r="I31" s="344">
        <f>'LPR (AR)'!I36/100*POP!I37</f>
        <v>2250.788237840195</v>
      </c>
      <c r="J31" s="340">
        <f>'LPR (AR)'!J36/100*POP!J37</f>
        <v>2282.53770256914</v>
      </c>
      <c r="K31" s="340">
        <f>'LPR (AR)'!K36/100*POP!K37</f>
        <v>2302.7198203728453</v>
      </c>
      <c r="L31" s="340">
        <f>'LPR (AR)'!L36/100*POP!L37</f>
        <v>2308.5797963618543</v>
      </c>
      <c r="M31" s="340">
        <f>'LPR (AR)'!M36/100*POP!M37</f>
        <v>2298.1092118747347</v>
      </c>
      <c r="N31" s="340">
        <f>'LPR (AR)'!N36/100*POP!N37</f>
        <v>2273.2100252696614</v>
      </c>
      <c r="O31" s="340">
        <f>'LPR (AR)'!O36/100*POP!O37</f>
        <v>2239.8198313581356</v>
      </c>
      <c r="P31" s="340">
        <f>'LPR (AR)'!P36/100*POP!P37</f>
        <v>2206.211409291917</v>
      </c>
      <c r="Q31" s="345">
        <f>'LPR (AR)'!Q36/100*POP!Q37</f>
        <v>2178.1490958231316</v>
      </c>
    </row>
    <row r="32" spans="1:17" ht="15">
      <c r="A32" s="154" t="s">
        <v>12</v>
      </c>
      <c r="B32" s="355">
        <f>'LPR (AR)'!B37/100*POP!B38</f>
        <v>1409.1173374647726</v>
      </c>
      <c r="C32" s="339">
        <f>'LPR (AR)'!C37/100*POP!C38</f>
        <v>1460.2203530358433</v>
      </c>
      <c r="D32" s="339">
        <f>'LPR (AR)'!D37/100*POP!D38</f>
        <v>1559.9192565141398</v>
      </c>
      <c r="E32" s="339">
        <f>'LPR (AR)'!E37/100*POP!E38</f>
        <v>1625.42208455928</v>
      </c>
      <c r="F32" s="339">
        <f>'LPR (AR)'!F37/100*POP!F38</f>
        <v>1679.5588989413272</v>
      </c>
      <c r="G32" s="339">
        <f>'LPR (AR)'!G37/100*POP!G38</f>
        <v>1741.7504102656908</v>
      </c>
      <c r="H32" s="339">
        <f>'LPR (AR)'!H37/100*POP!H38</f>
        <v>1791.5274212377324</v>
      </c>
      <c r="I32" s="344">
        <f>'LPR (AR)'!I37/100*POP!I38</f>
        <v>1840.8683777479562</v>
      </c>
      <c r="J32" s="340">
        <f>'LPR (AR)'!J37/100*POP!J38</f>
        <v>1888.9896466649102</v>
      </c>
      <c r="K32" s="340">
        <f>'LPR (AR)'!K37/100*POP!K38</f>
        <v>1934.7653014438833</v>
      </c>
      <c r="L32" s="340">
        <f>'LPR (AR)'!L37/100*POP!L38</f>
        <v>1977.1143416422183</v>
      </c>
      <c r="M32" s="340">
        <f>'LPR (AR)'!M37/100*POP!M38</f>
        <v>2016.566018197826</v>
      </c>
      <c r="N32" s="340">
        <f>'LPR (AR)'!N37/100*POP!N38</f>
        <v>2052.668096291946</v>
      </c>
      <c r="O32" s="340">
        <f>'LPR (AR)'!O37/100*POP!O38</f>
        <v>2082.2644799712157</v>
      </c>
      <c r="P32" s="340">
        <f>'LPR (AR)'!P37/100*POP!P38</f>
        <v>2101.2928709345506</v>
      </c>
      <c r="Q32" s="345">
        <f>'LPR (AR)'!Q37/100*POP!Q38</f>
        <v>2107.230811710405</v>
      </c>
    </row>
    <row r="33" spans="1:17" ht="15">
      <c r="A33" s="154" t="s">
        <v>13</v>
      </c>
      <c r="B33" s="355">
        <f>'LPR (AR)'!B38/100*POP!B39</f>
        <v>917.3225806679741</v>
      </c>
      <c r="C33" s="339">
        <f>'LPR (AR)'!C38/100*POP!C39</f>
        <v>973.3989660768018</v>
      </c>
      <c r="D33" s="339">
        <f>'LPR (AR)'!D38/100*POP!D39</f>
        <v>1058.2710698892797</v>
      </c>
      <c r="E33" s="339">
        <f>'LPR (AR)'!E38/100*POP!E39</f>
        <v>1133.8457353704002</v>
      </c>
      <c r="F33" s="339">
        <f>'LPR (AR)'!F38/100*POP!F39</f>
        <v>1220.438974224</v>
      </c>
      <c r="G33" s="339">
        <f>'LPR (AR)'!G38/100*POP!G39</f>
        <v>1276.4360683141426</v>
      </c>
      <c r="H33" s="339">
        <f>'LPR (AR)'!H38/100*POP!H39</f>
        <v>1328.7287956070386</v>
      </c>
      <c r="I33" s="344">
        <f>'LPR (AR)'!I38/100*POP!I39</f>
        <v>1375.3946234426357</v>
      </c>
      <c r="J33" s="340">
        <f>'LPR (AR)'!J38/100*POP!J39</f>
        <v>1418.2762712240246</v>
      </c>
      <c r="K33" s="340">
        <f>'LPR (AR)'!K38/100*POP!K39</f>
        <v>1460.2115763286297</v>
      </c>
      <c r="L33" s="340">
        <f>'LPR (AR)'!L38/100*POP!L39</f>
        <v>1503.080310407865</v>
      </c>
      <c r="M33" s="340">
        <f>'LPR (AR)'!M38/100*POP!M39</f>
        <v>1546.8031143131298</v>
      </c>
      <c r="N33" s="340">
        <f>'LPR (AR)'!N38/100*POP!N39</f>
        <v>1590.1634042680898</v>
      </c>
      <c r="O33" s="340">
        <f>'LPR (AR)'!O38/100*POP!O39</f>
        <v>1632.4838900756274</v>
      </c>
      <c r="P33" s="340">
        <f>'LPR (AR)'!P38/100*POP!P39</f>
        <v>1672.7932939854234</v>
      </c>
      <c r="Q33" s="345">
        <f>'LPR (AR)'!Q38/100*POP!Q39</f>
        <v>1710.1561169169333</v>
      </c>
    </row>
    <row r="34" spans="1:17" ht="15">
      <c r="A34" s="154" t="s">
        <v>14</v>
      </c>
      <c r="B34" s="355">
        <f>'LPR (AR)'!B39/100*POP!B40</f>
        <v>521.1546180111662</v>
      </c>
      <c r="C34" s="339">
        <f>'LPR (AR)'!C39/100*POP!C40</f>
        <v>513.8360781765516</v>
      </c>
      <c r="D34" s="339">
        <f>'LPR (AR)'!D39/100*POP!D40</f>
        <v>571.4129900231695</v>
      </c>
      <c r="E34" s="339">
        <f>'LPR (AR)'!E39/100*POP!E40</f>
        <v>600.7738276166086</v>
      </c>
      <c r="F34" s="339">
        <f>'LPR (AR)'!F39/100*POP!F40</f>
        <v>647.6517983956625</v>
      </c>
      <c r="G34" s="339">
        <f>'LPR (AR)'!G39/100*POP!G40</f>
        <v>688.5500639037663</v>
      </c>
      <c r="H34" s="339">
        <f>'LPR (AR)'!H39/100*POP!H40</f>
        <v>727.993285444613</v>
      </c>
      <c r="I34" s="344">
        <f>'LPR (AR)'!I39/100*POP!I40</f>
        <v>772.8849357778448</v>
      </c>
      <c r="J34" s="340">
        <f>'LPR (AR)'!J39/100*POP!J40</f>
        <v>820.4990937715386</v>
      </c>
      <c r="K34" s="340">
        <f>'LPR (AR)'!K39/100*POP!K40</f>
        <v>866.9759479297055</v>
      </c>
      <c r="L34" s="340">
        <f>'LPR (AR)'!L39/100*POP!L40</f>
        <v>909.6409404566891</v>
      </c>
      <c r="M34" s="340">
        <f>'LPR (AR)'!M39/100*POP!M40</f>
        <v>947.5208693509999</v>
      </c>
      <c r="N34" s="340">
        <f>'LPR (AR)'!N39/100*POP!N40</f>
        <v>981.4297934270611</v>
      </c>
      <c r="O34" s="340">
        <f>'LPR (AR)'!O39/100*POP!O40</f>
        <v>1012.6767688447749</v>
      </c>
      <c r="P34" s="340">
        <f>'LPR (AR)'!P39/100*POP!P40</f>
        <v>1043.2792058490418</v>
      </c>
      <c r="Q34" s="345">
        <f>'LPR (AR)'!Q39/100*POP!Q40</f>
        <v>1074.572366877013</v>
      </c>
    </row>
    <row r="35" spans="1:17" ht="15">
      <c r="A35" s="154" t="s">
        <v>198</v>
      </c>
      <c r="B35" s="357">
        <f>'LPR (AR)'!B40/100*POP!B41</f>
        <v>518.3836489545286</v>
      </c>
      <c r="C35" s="358">
        <f>'LPR (AR)'!C40/100*POP!C41</f>
        <v>504.67275005558906</v>
      </c>
      <c r="D35" s="358">
        <f>'LPR (AR)'!D40/100*POP!D41</f>
        <v>565.069846555016</v>
      </c>
      <c r="E35" s="358">
        <f>'LPR (AR)'!E40/100*POP!E41</f>
        <v>572.7064190919617</v>
      </c>
      <c r="F35" s="358">
        <f>'LPR (AR)'!F40/100*POP!F41</f>
        <v>614.7344026083081</v>
      </c>
      <c r="G35" s="358">
        <f>'LPR (AR)'!G40/100*POP!G41</f>
        <v>618.7591805807059</v>
      </c>
      <c r="H35" s="358">
        <f>'LPR (AR)'!H40/100*POP!H41</f>
        <v>640.1795564409608</v>
      </c>
      <c r="I35" s="346">
        <f>'LPR (AR)'!I40/100*POP!I41</f>
        <v>662.4628111445103</v>
      </c>
      <c r="J35" s="347">
        <f>'LPR (AR)'!J40/100*POP!J41</f>
        <v>686.2283492682069</v>
      </c>
      <c r="K35" s="347">
        <f>'LPR (AR)'!K40/100*POP!K41</f>
        <v>691.9493915176274</v>
      </c>
      <c r="L35" s="347">
        <f>'LPR (AR)'!L40/100*POP!L41</f>
        <v>720.4176602925161</v>
      </c>
      <c r="M35" s="347">
        <f>'LPR (AR)'!M40/100*POP!M41</f>
        <v>731.186629792556</v>
      </c>
      <c r="N35" s="347">
        <f>'LPR (AR)'!N40/100*POP!N41</f>
        <v>764.4913242894495</v>
      </c>
      <c r="O35" s="347">
        <f>'LPR (AR)'!O40/100*POP!O41</f>
        <v>779.4058804516955</v>
      </c>
      <c r="P35" s="347">
        <f>'LPR (AR)'!P40/100*POP!P41</f>
        <v>815.8406844413087</v>
      </c>
      <c r="Q35" s="348">
        <f>'LPR (AR)'!Q40/100*POP!Q41</f>
        <v>832.7987653452286</v>
      </c>
    </row>
    <row r="36" spans="1:17" ht="15">
      <c r="A36" s="304" t="s">
        <v>15</v>
      </c>
      <c r="B36" s="297">
        <f>SUM(B25:B35)</f>
        <v>16256.80373358609</v>
      </c>
      <c r="C36" s="297">
        <f aca="true" t="shared" si="1" ref="C36:Q36">SUM(C25:C35)</f>
        <v>16125.302272439063</v>
      </c>
      <c r="D36" s="297">
        <f t="shared" si="1"/>
        <v>16521.224310881174</v>
      </c>
      <c r="E36" s="297">
        <f t="shared" si="1"/>
        <v>16781.100242980076</v>
      </c>
      <c r="F36" s="297">
        <f t="shared" si="1"/>
        <v>16981.777117296773</v>
      </c>
      <c r="G36" s="297">
        <f t="shared" si="1"/>
        <v>17032.2831315875</v>
      </c>
      <c r="H36" s="307">
        <f t="shared" si="1"/>
        <v>17115.14436939403</v>
      </c>
      <c r="I36" s="297">
        <f t="shared" si="1"/>
        <v>17189.2470387395</v>
      </c>
      <c r="J36" s="297">
        <f t="shared" si="1"/>
        <v>17253.818741216037</v>
      </c>
      <c r="K36" s="297">
        <f t="shared" si="1"/>
        <v>17287.11106947956</v>
      </c>
      <c r="L36" s="297">
        <f t="shared" si="1"/>
        <v>17328.37636991678</v>
      </c>
      <c r="M36" s="297">
        <f t="shared" si="1"/>
        <v>17336.889401285607</v>
      </c>
      <c r="N36" s="297">
        <f t="shared" si="1"/>
        <v>17353.559386385863</v>
      </c>
      <c r="O36" s="297">
        <f t="shared" si="1"/>
        <v>17338.038033979414</v>
      </c>
      <c r="P36" s="297">
        <f t="shared" si="1"/>
        <v>17331.073109021836</v>
      </c>
      <c r="Q36" s="297">
        <f t="shared" si="1"/>
        <v>17292.31007483289</v>
      </c>
    </row>
    <row r="38" ht="17.25">
      <c r="A38" s="155" t="s">
        <v>211</v>
      </c>
    </row>
    <row r="39" spans="1:17" ht="15">
      <c r="A39" s="308" t="s">
        <v>1</v>
      </c>
      <c r="B39" s="309">
        <v>2005</v>
      </c>
      <c r="C39" s="300">
        <v>2006</v>
      </c>
      <c r="D39" s="300">
        <v>2007</v>
      </c>
      <c r="E39" s="300">
        <v>2008</v>
      </c>
      <c r="F39" s="300">
        <v>2009</v>
      </c>
      <c r="G39" s="300">
        <v>2010</v>
      </c>
      <c r="H39" s="303">
        <v>2011</v>
      </c>
      <c r="I39" s="300">
        <v>2012</v>
      </c>
      <c r="J39" s="300">
        <v>2013</v>
      </c>
      <c r="K39" s="300">
        <v>2014</v>
      </c>
      <c r="L39" s="300">
        <v>2015</v>
      </c>
      <c r="M39" s="300">
        <v>2016</v>
      </c>
      <c r="N39" s="300">
        <v>2017</v>
      </c>
      <c r="O39" s="300">
        <v>2018</v>
      </c>
      <c r="P39" s="300">
        <v>2019</v>
      </c>
      <c r="Q39" s="300">
        <v>2020</v>
      </c>
    </row>
    <row r="40" spans="1:17" s="147" customFormat="1" ht="15">
      <c r="A40" s="153" t="s">
        <v>5</v>
      </c>
      <c r="B40" s="352">
        <f>B10+B25</f>
        <v>1347.5537706820041</v>
      </c>
      <c r="C40" s="353">
        <f aca="true" t="shared" si="2" ref="C40:Q40">C10+C25</f>
        <v>1225.3578183452014</v>
      </c>
      <c r="D40" s="353">
        <f t="shared" si="2"/>
        <v>1225.3162882129</v>
      </c>
      <c r="E40" s="353">
        <f t="shared" si="2"/>
        <v>1227.053914255226</v>
      </c>
      <c r="F40" s="353">
        <f t="shared" si="2"/>
        <v>1232.2167601347805</v>
      </c>
      <c r="G40" s="353">
        <f t="shared" si="2"/>
        <v>1191.774825872156</v>
      </c>
      <c r="H40" s="354">
        <f t="shared" si="2"/>
        <v>1173.4359932040268</v>
      </c>
      <c r="I40" s="342">
        <f t="shared" si="2"/>
        <v>1150.6460082916576</v>
      </c>
      <c r="J40" s="342">
        <f t="shared" si="2"/>
        <v>1124.023652491935</v>
      </c>
      <c r="K40" s="342">
        <f t="shared" si="2"/>
        <v>1094.7299691809233</v>
      </c>
      <c r="L40" s="342">
        <f t="shared" si="2"/>
        <v>1063.6504105128515</v>
      </c>
      <c r="M40" s="342">
        <f t="shared" si="2"/>
        <v>1030.81690196722</v>
      </c>
      <c r="N40" s="342">
        <f t="shared" si="2"/>
        <v>996.1470990935576</v>
      </c>
      <c r="O40" s="342">
        <f t="shared" si="2"/>
        <v>960.3291284890477</v>
      </c>
      <c r="P40" s="342">
        <f t="shared" si="2"/>
        <v>924.1141895614643</v>
      </c>
      <c r="Q40" s="343">
        <f t="shared" si="2"/>
        <v>888.0730917244703</v>
      </c>
    </row>
    <row r="41" spans="1:17" s="147" customFormat="1" ht="15">
      <c r="A41" s="154" t="s">
        <v>6</v>
      </c>
      <c r="B41" s="355">
        <f aca="true" t="shared" si="3" ref="B41:Q50">B11+B26</f>
        <v>3221.118447830719</v>
      </c>
      <c r="C41" s="339">
        <f t="shared" si="3"/>
        <v>3080.7751030562413</v>
      </c>
      <c r="D41" s="339">
        <f t="shared" si="3"/>
        <v>3055.6005768770883</v>
      </c>
      <c r="E41" s="339">
        <f t="shared" si="3"/>
        <v>3080.091885834978</v>
      </c>
      <c r="F41" s="339">
        <f t="shared" si="3"/>
        <v>3084.5995999055035</v>
      </c>
      <c r="G41" s="339">
        <f t="shared" si="3"/>
        <v>3030.7355988655436</v>
      </c>
      <c r="H41" s="356">
        <f t="shared" si="3"/>
        <v>3044.396652925888</v>
      </c>
      <c r="I41" s="340">
        <f t="shared" si="3"/>
        <v>3074.020496877023</v>
      </c>
      <c r="J41" s="340">
        <f t="shared" si="3"/>
        <v>3112.0822025119464</v>
      </c>
      <c r="K41" s="340">
        <f t="shared" si="3"/>
        <v>3147.4738205558956</v>
      </c>
      <c r="L41" s="340">
        <f t="shared" si="3"/>
        <v>3172.02074040591</v>
      </c>
      <c r="M41" s="340">
        <f t="shared" si="3"/>
        <v>3183.0027490880348</v>
      </c>
      <c r="N41" s="340">
        <f t="shared" si="3"/>
        <v>3181.8728158867643</v>
      </c>
      <c r="O41" s="340">
        <f t="shared" si="3"/>
        <v>3169.83491900481</v>
      </c>
      <c r="P41" s="340">
        <f t="shared" si="3"/>
        <v>3149.613924659093</v>
      </c>
      <c r="Q41" s="345">
        <f t="shared" si="3"/>
        <v>3123.342004556201</v>
      </c>
    </row>
    <row r="42" spans="1:17" s="147" customFormat="1" ht="15">
      <c r="A42" s="154" t="s">
        <v>7</v>
      </c>
      <c r="B42" s="355">
        <f t="shared" si="3"/>
        <v>4514.408724818154</v>
      </c>
      <c r="C42" s="339">
        <f t="shared" si="3"/>
        <v>4394.233644112764</v>
      </c>
      <c r="D42" s="339">
        <f t="shared" si="3"/>
        <v>4316.434349015468</v>
      </c>
      <c r="E42" s="339">
        <f t="shared" si="3"/>
        <v>4226.1598323765775</v>
      </c>
      <c r="F42" s="339">
        <f t="shared" si="3"/>
        <v>4091.2034106458864</v>
      </c>
      <c r="G42" s="339">
        <f t="shared" si="3"/>
        <v>3985.6812532104377</v>
      </c>
      <c r="H42" s="356">
        <f t="shared" si="3"/>
        <v>3903.376404672972</v>
      </c>
      <c r="I42" s="340">
        <f t="shared" si="3"/>
        <v>3836.6513845986387</v>
      </c>
      <c r="J42" s="340">
        <f t="shared" si="3"/>
        <v>3787.7924076584322</v>
      </c>
      <c r="K42" s="340">
        <f t="shared" si="3"/>
        <v>3759.469093963758</v>
      </c>
      <c r="L42" s="340">
        <f t="shared" si="3"/>
        <v>3752.5770568594025</v>
      </c>
      <c r="M42" s="340">
        <f t="shared" si="3"/>
        <v>3769.1723301184647</v>
      </c>
      <c r="N42" s="340">
        <f t="shared" si="3"/>
        <v>3806.426587256533</v>
      </c>
      <c r="O42" s="340">
        <f t="shared" si="3"/>
        <v>3854.1245308028465</v>
      </c>
      <c r="P42" s="340">
        <f t="shared" si="3"/>
        <v>3898.4994217168087</v>
      </c>
      <c r="Q42" s="345">
        <f t="shared" si="3"/>
        <v>3929.4163991151727</v>
      </c>
    </row>
    <row r="43" spans="1:17" s="147" customFormat="1" ht="15">
      <c r="A43" s="154" t="s">
        <v>8</v>
      </c>
      <c r="B43" s="355">
        <f t="shared" si="3"/>
        <v>4784.490596264273</v>
      </c>
      <c r="C43" s="339">
        <f t="shared" si="3"/>
        <v>4732.278347132717</v>
      </c>
      <c r="D43" s="339">
        <f t="shared" si="3"/>
        <v>4719.944618197527</v>
      </c>
      <c r="E43" s="339">
        <f t="shared" si="3"/>
        <v>4721.037172002059</v>
      </c>
      <c r="F43" s="339">
        <f t="shared" si="3"/>
        <v>4690.077651909871</v>
      </c>
      <c r="G43" s="339">
        <f t="shared" si="3"/>
        <v>4595.175774612499</v>
      </c>
      <c r="H43" s="356">
        <f t="shared" si="3"/>
        <v>4504.152864246915</v>
      </c>
      <c r="I43" s="340">
        <f t="shared" si="3"/>
        <v>4393.997207477914</v>
      </c>
      <c r="J43" s="340">
        <f t="shared" si="3"/>
        <v>4274.555143185893</v>
      </c>
      <c r="K43" s="340">
        <f t="shared" si="3"/>
        <v>4159.9306331986445</v>
      </c>
      <c r="L43" s="340">
        <f t="shared" si="3"/>
        <v>4060.724393725156</v>
      </c>
      <c r="M43" s="340">
        <f t="shared" si="3"/>
        <v>3978.4437583770314</v>
      </c>
      <c r="N43" s="340">
        <f t="shared" si="3"/>
        <v>3911.306016891376</v>
      </c>
      <c r="O43" s="340">
        <f t="shared" si="3"/>
        <v>3862.338157770816</v>
      </c>
      <c r="P43" s="340">
        <f t="shared" si="3"/>
        <v>3834.283556703706</v>
      </c>
      <c r="Q43" s="345">
        <f t="shared" si="3"/>
        <v>3828.071906952514</v>
      </c>
    </row>
    <row r="44" spans="1:17" s="147" customFormat="1" ht="15">
      <c r="A44" s="154" t="s">
        <v>9</v>
      </c>
      <c r="B44" s="355">
        <f t="shared" si="3"/>
        <v>5051.576163535965</v>
      </c>
      <c r="C44" s="339">
        <f t="shared" si="3"/>
        <v>5015.223881454901</v>
      </c>
      <c r="D44" s="339">
        <f t="shared" si="3"/>
        <v>5008.391962227282</v>
      </c>
      <c r="E44" s="339">
        <f t="shared" si="3"/>
        <v>4948.9887499688575</v>
      </c>
      <c r="F44" s="339">
        <f t="shared" si="3"/>
        <v>4875.408424266076</v>
      </c>
      <c r="G44" s="339">
        <f t="shared" si="3"/>
        <v>4831.516656616206</v>
      </c>
      <c r="H44" s="356">
        <f t="shared" si="3"/>
        <v>4787.843080453797</v>
      </c>
      <c r="I44" s="340">
        <f t="shared" si="3"/>
        <v>4757.199507775648</v>
      </c>
      <c r="J44" s="340">
        <f t="shared" si="3"/>
        <v>4729.744415029392</v>
      </c>
      <c r="K44" s="340">
        <f t="shared" si="3"/>
        <v>4689.352462800929</v>
      </c>
      <c r="L44" s="340">
        <f t="shared" si="3"/>
        <v>4625.3743641880865</v>
      </c>
      <c r="M44" s="340">
        <f t="shared" si="3"/>
        <v>4535.170429737864</v>
      </c>
      <c r="N44" s="340">
        <f t="shared" si="3"/>
        <v>4425.435750690526</v>
      </c>
      <c r="O44" s="340">
        <f t="shared" si="3"/>
        <v>4306.248261420036</v>
      </c>
      <c r="P44" s="340">
        <f t="shared" si="3"/>
        <v>4191.823304168386</v>
      </c>
      <c r="Q44" s="345">
        <f t="shared" si="3"/>
        <v>4092.8569694713506</v>
      </c>
    </row>
    <row r="45" spans="1:17" s="147" customFormat="1" ht="15">
      <c r="A45" s="154" t="s">
        <v>10</v>
      </c>
      <c r="B45" s="355">
        <f t="shared" si="3"/>
        <v>4649.440526618348</v>
      </c>
      <c r="C45" s="339">
        <f t="shared" si="3"/>
        <v>4740.136181905555</v>
      </c>
      <c r="D45" s="339">
        <f t="shared" si="3"/>
        <v>4859.311962389947</v>
      </c>
      <c r="E45" s="339">
        <f t="shared" si="3"/>
        <v>4948.3442504279865</v>
      </c>
      <c r="F45" s="339">
        <f t="shared" si="3"/>
        <v>5006.552612622014</v>
      </c>
      <c r="G45" s="339">
        <f t="shared" si="3"/>
        <v>5017.516996232927</v>
      </c>
      <c r="H45" s="356">
        <f t="shared" si="3"/>
        <v>4992.525525517696</v>
      </c>
      <c r="I45" s="340">
        <f t="shared" si="3"/>
        <v>4937.399059279578</v>
      </c>
      <c r="J45" s="340">
        <f t="shared" si="3"/>
        <v>4864.74898089335</v>
      </c>
      <c r="K45" s="340">
        <f t="shared" si="3"/>
        <v>4792.101471801538</v>
      </c>
      <c r="L45" s="340">
        <f t="shared" si="3"/>
        <v>4731.611915800206</v>
      </c>
      <c r="M45" s="340">
        <f t="shared" si="3"/>
        <v>4689.290127233861</v>
      </c>
      <c r="N45" s="340">
        <f t="shared" si="3"/>
        <v>4660.754386542994</v>
      </c>
      <c r="O45" s="340">
        <f t="shared" si="3"/>
        <v>4635.269734543426</v>
      </c>
      <c r="P45" s="340">
        <f t="shared" si="3"/>
        <v>4597.032442310081</v>
      </c>
      <c r="Q45" s="345">
        <f t="shared" si="3"/>
        <v>4535.597371662098</v>
      </c>
    </row>
    <row r="46" spans="1:17" s="147" customFormat="1" ht="15">
      <c r="A46" s="154" t="s">
        <v>11</v>
      </c>
      <c r="B46" s="355">
        <f t="shared" si="3"/>
        <v>3959.043077193578</v>
      </c>
      <c r="C46" s="339">
        <f t="shared" si="3"/>
        <v>4063.3618478487488</v>
      </c>
      <c r="D46" s="339">
        <f t="shared" si="3"/>
        <v>4211.615830157705</v>
      </c>
      <c r="E46" s="339">
        <f t="shared" si="3"/>
        <v>4331.480476920786</v>
      </c>
      <c r="F46" s="339">
        <f t="shared" si="3"/>
        <v>4446.289033006584</v>
      </c>
      <c r="G46" s="339">
        <f t="shared" si="3"/>
        <v>4531.501589580365</v>
      </c>
      <c r="H46" s="356">
        <f t="shared" si="3"/>
        <v>4616.263203981745</v>
      </c>
      <c r="I46" s="340">
        <f t="shared" si="3"/>
        <v>4693.888955543557</v>
      </c>
      <c r="J46" s="340">
        <f t="shared" si="3"/>
        <v>4757.032927872182</v>
      </c>
      <c r="K46" s="340">
        <f t="shared" si="3"/>
        <v>4796.741160270507</v>
      </c>
      <c r="L46" s="340">
        <f t="shared" si="3"/>
        <v>4807.516834783568</v>
      </c>
      <c r="M46" s="340">
        <f t="shared" si="3"/>
        <v>4785.374794969268</v>
      </c>
      <c r="N46" s="340">
        <f t="shared" si="3"/>
        <v>4734.266257569817</v>
      </c>
      <c r="O46" s="340">
        <f t="shared" si="3"/>
        <v>4666.313124584263</v>
      </c>
      <c r="P46" s="340">
        <f t="shared" si="3"/>
        <v>4598.312787069233</v>
      </c>
      <c r="Q46" s="345">
        <f t="shared" si="3"/>
        <v>4541.919176912612</v>
      </c>
    </row>
    <row r="47" spans="1:17" s="147" customFormat="1" ht="15">
      <c r="A47" s="154" t="s">
        <v>12</v>
      </c>
      <c r="B47" s="355">
        <f t="shared" si="3"/>
        <v>3064.883195020894</v>
      </c>
      <c r="C47" s="339">
        <f t="shared" si="3"/>
        <v>3186.0575806787992</v>
      </c>
      <c r="D47" s="339">
        <f t="shared" si="3"/>
        <v>3373.7503019958012</v>
      </c>
      <c r="E47" s="339">
        <f t="shared" si="3"/>
        <v>3499.2823221307713</v>
      </c>
      <c r="F47" s="339">
        <f t="shared" si="3"/>
        <v>3607.0698399311214</v>
      </c>
      <c r="G47" s="339">
        <f t="shared" si="3"/>
        <v>3725.3392279520617</v>
      </c>
      <c r="H47" s="356">
        <f t="shared" si="3"/>
        <v>3827.646908043807</v>
      </c>
      <c r="I47" s="340">
        <f t="shared" si="3"/>
        <v>3929.4399654902554</v>
      </c>
      <c r="J47" s="340">
        <f t="shared" si="3"/>
        <v>4028.734777566244</v>
      </c>
      <c r="K47" s="340">
        <f t="shared" si="3"/>
        <v>4123.128143002665</v>
      </c>
      <c r="L47" s="340">
        <f t="shared" si="3"/>
        <v>4210.343046782837</v>
      </c>
      <c r="M47" s="340">
        <f t="shared" si="3"/>
        <v>4291.504085110194</v>
      </c>
      <c r="N47" s="340">
        <f t="shared" si="3"/>
        <v>4365.7107484310745</v>
      </c>
      <c r="O47" s="340">
        <f t="shared" si="3"/>
        <v>4426.443538630025</v>
      </c>
      <c r="P47" s="340">
        <f t="shared" si="3"/>
        <v>4465.339941280437</v>
      </c>
      <c r="Q47" s="345">
        <f t="shared" si="3"/>
        <v>4477.260231846683</v>
      </c>
    </row>
    <row r="48" spans="1:17" s="147" customFormat="1" ht="15">
      <c r="A48" s="154" t="s">
        <v>13</v>
      </c>
      <c r="B48" s="355">
        <f t="shared" si="3"/>
        <v>2089.413825318804</v>
      </c>
      <c r="C48" s="339">
        <f t="shared" si="3"/>
        <v>2208.978759874565</v>
      </c>
      <c r="D48" s="339">
        <f t="shared" si="3"/>
        <v>2376.0479040873506</v>
      </c>
      <c r="E48" s="339">
        <f t="shared" si="3"/>
        <v>2531.8283129126385</v>
      </c>
      <c r="F48" s="339">
        <f t="shared" si="3"/>
        <v>2685.7938757501397</v>
      </c>
      <c r="G48" s="339">
        <f t="shared" si="3"/>
        <v>2806.895654895994</v>
      </c>
      <c r="H48" s="356">
        <f t="shared" si="3"/>
        <v>2917.3221898583447</v>
      </c>
      <c r="I48" s="340">
        <f t="shared" si="3"/>
        <v>3016.220378256684</v>
      </c>
      <c r="J48" s="340">
        <f t="shared" si="3"/>
        <v>3106.9133794876507</v>
      </c>
      <c r="K48" s="340">
        <f t="shared" si="3"/>
        <v>3195.6203606249323</v>
      </c>
      <c r="L48" s="340">
        <f t="shared" si="3"/>
        <v>3286.4268840335453</v>
      </c>
      <c r="M48" s="340">
        <f t="shared" si="3"/>
        <v>3379.1748929778732</v>
      </c>
      <c r="N48" s="340">
        <f t="shared" si="3"/>
        <v>3471.242574575335</v>
      </c>
      <c r="O48" s="340">
        <f t="shared" si="3"/>
        <v>3561.1466939679112</v>
      </c>
      <c r="P48" s="340">
        <f t="shared" si="3"/>
        <v>3646.7678245821544</v>
      </c>
      <c r="Q48" s="345">
        <f t="shared" si="3"/>
        <v>3726.090224631933</v>
      </c>
    </row>
    <row r="49" spans="1:17" s="147" customFormat="1" ht="15">
      <c r="A49" s="154" t="s">
        <v>14</v>
      </c>
      <c r="B49" s="355">
        <f t="shared" si="3"/>
        <v>1263.417483717736</v>
      </c>
      <c r="C49" s="339">
        <f t="shared" si="3"/>
        <v>1275.9156599667106</v>
      </c>
      <c r="D49" s="339">
        <f t="shared" si="3"/>
        <v>1384.461839967511</v>
      </c>
      <c r="E49" s="339">
        <f t="shared" si="3"/>
        <v>1432.3113219363743</v>
      </c>
      <c r="F49" s="339">
        <f t="shared" si="3"/>
        <v>1513.556630080156</v>
      </c>
      <c r="G49" s="339">
        <f t="shared" si="3"/>
        <v>1584.1797734017746</v>
      </c>
      <c r="H49" s="356">
        <f t="shared" si="3"/>
        <v>1673.348997162073</v>
      </c>
      <c r="I49" s="340">
        <f t="shared" si="3"/>
        <v>1774.5213436928393</v>
      </c>
      <c r="J49" s="340">
        <f t="shared" si="3"/>
        <v>1881.5002769041505</v>
      </c>
      <c r="K49" s="340">
        <f t="shared" si="3"/>
        <v>1985.543865325541</v>
      </c>
      <c r="L49" s="340">
        <f t="shared" si="3"/>
        <v>2080.6915229438837</v>
      </c>
      <c r="M49" s="340">
        <f t="shared" si="3"/>
        <v>2164.862096217964</v>
      </c>
      <c r="N49" s="340">
        <f t="shared" si="3"/>
        <v>2240.0059301020133</v>
      </c>
      <c r="O49" s="340">
        <f t="shared" si="3"/>
        <v>2309.169963703038</v>
      </c>
      <c r="P49" s="340">
        <f t="shared" si="3"/>
        <v>2376.951602492778</v>
      </c>
      <c r="Q49" s="345">
        <f t="shared" si="3"/>
        <v>2446.3667315253592</v>
      </c>
    </row>
    <row r="50" spans="1:17" s="147" customFormat="1" ht="15">
      <c r="A50" s="154" t="s">
        <v>198</v>
      </c>
      <c r="B50" s="355">
        <f t="shared" si="3"/>
        <v>1391.160724268887</v>
      </c>
      <c r="C50" s="339">
        <f t="shared" si="3"/>
        <v>1380.3852697071748</v>
      </c>
      <c r="D50" s="339">
        <f t="shared" si="3"/>
        <v>1497.0364318129243</v>
      </c>
      <c r="E50" s="339">
        <f t="shared" si="3"/>
        <v>1522.0891582028162</v>
      </c>
      <c r="F50" s="339">
        <f t="shared" si="3"/>
        <v>1604.3290970952594</v>
      </c>
      <c r="G50" s="339">
        <f t="shared" si="3"/>
        <v>1592.9402664656864</v>
      </c>
      <c r="H50" s="356">
        <f t="shared" si="3"/>
        <v>1646.3151387693038</v>
      </c>
      <c r="I50" s="340">
        <f t="shared" si="3"/>
        <v>1701.8196055512844</v>
      </c>
      <c r="J50" s="340">
        <f t="shared" si="3"/>
        <v>1761.0786406860634</v>
      </c>
      <c r="K50" s="340">
        <f t="shared" si="3"/>
        <v>1805.8868634783787</v>
      </c>
      <c r="L50" s="340">
        <f t="shared" si="3"/>
        <v>1877.8645481265448</v>
      </c>
      <c r="M50" s="340">
        <f t="shared" si="3"/>
        <v>1936.810498347887</v>
      </c>
      <c r="N50" s="340">
        <f t="shared" si="3"/>
        <v>2022.478203662693</v>
      </c>
      <c r="O50" s="340">
        <f t="shared" si="3"/>
        <v>2093.1316249797196</v>
      </c>
      <c r="P50" s="340">
        <f t="shared" si="3"/>
        <v>2187.565412887109</v>
      </c>
      <c r="Q50" s="345">
        <f t="shared" si="3"/>
        <v>2263.9733303190214</v>
      </c>
    </row>
    <row r="51" spans="1:17" ht="15">
      <c r="A51" s="304" t="s">
        <v>15</v>
      </c>
      <c r="B51" s="54">
        <f>SUM(B40:B50)</f>
        <v>35336.50653526936</v>
      </c>
      <c r="C51" s="54">
        <f aca="true" t="shared" si="4" ref="C51:Q51">SUM(C40:C50)</f>
        <v>35302.70409408338</v>
      </c>
      <c r="D51" s="54">
        <f t="shared" si="4"/>
        <v>36027.912064941505</v>
      </c>
      <c r="E51" s="54">
        <f t="shared" si="4"/>
        <v>36468.66739696906</v>
      </c>
      <c r="F51" s="54">
        <f t="shared" si="4"/>
        <v>36837.09693534739</v>
      </c>
      <c r="G51" s="54">
        <f t="shared" si="4"/>
        <v>36893.257617705654</v>
      </c>
      <c r="H51" s="54">
        <f t="shared" si="4"/>
        <v>37086.626958836576</v>
      </c>
      <c r="I51" s="54">
        <f t="shared" si="4"/>
        <v>37265.80391283508</v>
      </c>
      <c r="J51" s="54">
        <f t="shared" si="4"/>
        <v>37428.20680428724</v>
      </c>
      <c r="K51" s="54">
        <f t="shared" si="4"/>
        <v>37549.977844203706</v>
      </c>
      <c r="L51" s="54">
        <f t="shared" si="4"/>
        <v>37668.801718161994</v>
      </c>
      <c r="M51" s="54">
        <f t="shared" si="4"/>
        <v>37743.62266414565</v>
      </c>
      <c r="N51" s="54">
        <f t="shared" si="4"/>
        <v>37815.646370702685</v>
      </c>
      <c r="O51" s="54">
        <f t="shared" si="4"/>
        <v>37844.34967789594</v>
      </c>
      <c r="P51" s="54">
        <f t="shared" si="4"/>
        <v>37870.30440743125</v>
      </c>
      <c r="Q51" s="54">
        <f t="shared" si="4"/>
        <v>37852.96743871742</v>
      </c>
    </row>
    <row r="53" ht="15">
      <c r="H53" s="203"/>
    </row>
  </sheetData>
  <mergeCells count="3">
    <mergeCell ref="P4:Q4"/>
    <mergeCell ref="P5:Q5"/>
    <mergeCell ref="A23:I23"/>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sheetPr>
    <tabColor rgb="FF17375D"/>
  </sheetPr>
  <dimension ref="A1:R325"/>
  <sheetViews>
    <sheetView workbookViewId="0" topLeftCell="A1">
      <selection activeCell="A2" sqref="A2"/>
    </sheetView>
  </sheetViews>
  <sheetFormatPr defaultColWidth="8.8515625" defaultRowHeight="15"/>
  <cols>
    <col min="1" max="1" width="10.28125" style="77" customWidth="1"/>
    <col min="2" max="5" width="9.140625" style="77" customWidth="1"/>
    <col min="6" max="6" width="9.140625" style="278" customWidth="1"/>
    <col min="7" max="17" width="9.140625" style="77" customWidth="1"/>
    <col min="18" max="18" width="101.8515625" style="77" bestFit="1" customWidth="1"/>
    <col min="19" max="16384" width="8.8515625" style="77" customWidth="1"/>
  </cols>
  <sheetData>
    <row r="1" spans="1:17" ht="18.75">
      <c r="A1" s="60" t="s">
        <v>341</v>
      </c>
      <c r="B1" s="1"/>
      <c r="C1" s="1"/>
      <c r="D1" s="1"/>
      <c r="E1" s="1"/>
      <c r="F1" s="37"/>
      <c r="G1" s="1"/>
      <c r="H1" s="1"/>
      <c r="I1" s="1"/>
      <c r="J1" s="1"/>
      <c r="K1" s="1"/>
      <c r="L1" s="1"/>
      <c r="M1" s="1"/>
      <c r="N1" s="1"/>
      <c r="O1" s="1"/>
      <c r="P1" s="1"/>
      <c r="Q1" s="1"/>
    </row>
    <row r="2" spans="1:17" ht="15">
      <c r="A2" s="1"/>
      <c r="B2" s="1"/>
      <c r="C2" s="1"/>
      <c r="D2" s="1"/>
      <c r="E2" s="1"/>
      <c r="F2" s="37"/>
      <c r="G2" s="1"/>
      <c r="H2" s="1"/>
      <c r="I2" s="1"/>
      <c r="J2" s="1"/>
      <c r="K2" s="1"/>
      <c r="L2" s="1"/>
      <c r="M2" s="1"/>
      <c r="N2" s="1"/>
      <c r="O2" s="48" t="s">
        <v>32</v>
      </c>
      <c r="P2" s="50"/>
      <c r="Q2" s="51" t="str">
        <f>README!I6</f>
        <v>1.1</v>
      </c>
    </row>
    <row r="3" spans="1:17" ht="15">
      <c r="A3" s="1"/>
      <c r="B3" s="1"/>
      <c r="C3" s="1"/>
      <c r="D3" s="1"/>
      <c r="E3" s="1"/>
      <c r="F3" s="37"/>
      <c r="G3" s="1"/>
      <c r="H3" s="1"/>
      <c r="I3" s="1"/>
      <c r="J3" s="1"/>
      <c r="K3" s="1"/>
      <c r="L3" s="1"/>
      <c r="M3" s="1"/>
      <c r="N3" s="1"/>
      <c r="O3" s="48" t="s">
        <v>28</v>
      </c>
      <c r="P3" s="50"/>
      <c r="Q3" s="51" t="str">
        <f>README!I7</f>
        <v>Coresia</v>
      </c>
    </row>
    <row r="4" spans="1:17" ht="15">
      <c r="A4" s="1"/>
      <c r="B4" s="1"/>
      <c r="C4" s="1"/>
      <c r="D4" s="1"/>
      <c r="E4" s="1"/>
      <c r="F4" s="37"/>
      <c r="G4" s="1"/>
      <c r="H4" s="1"/>
      <c r="I4" s="1"/>
      <c r="J4" s="1"/>
      <c r="K4" s="1"/>
      <c r="L4" s="1"/>
      <c r="M4" s="1"/>
      <c r="N4" s="1"/>
      <c r="O4" s="48" t="s">
        <v>33</v>
      </c>
      <c r="P4" s="595">
        <f>README!H8</f>
        <v>41565</v>
      </c>
      <c r="Q4" s="595"/>
    </row>
    <row r="5" spans="1:17" ht="15">
      <c r="A5" s="1"/>
      <c r="B5" s="1"/>
      <c r="C5" s="1"/>
      <c r="D5" s="1"/>
      <c r="E5" s="1"/>
      <c r="F5" s="37"/>
      <c r="G5" s="1"/>
      <c r="H5" s="1"/>
      <c r="I5" s="1"/>
      <c r="J5" s="1"/>
      <c r="K5" s="1"/>
      <c r="L5" s="1"/>
      <c r="M5" s="1"/>
      <c r="N5" s="1"/>
      <c r="O5" s="48" t="s">
        <v>25</v>
      </c>
      <c r="P5" s="595">
        <f>README!H9</f>
        <v>41605</v>
      </c>
      <c r="Q5" s="595"/>
    </row>
    <row r="6" spans="1:17" ht="15">
      <c r="A6" s="1"/>
      <c r="B6" s="1"/>
      <c r="C6" s="1"/>
      <c r="D6" s="1"/>
      <c r="E6" s="1"/>
      <c r="F6" s="37"/>
      <c r="G6" s="1"/>
      <c r="H6" s="1"/>
      <c r="I6" s="1"/>
      <c r="J6" s="1"/>
      <c r="K6" s="1"/>
      <c r="L6" s="1"/>
      <c r="M6" s="1"/>
      <c r="N6" s="1"/>
      <c r="O6" s="48" t="s">
        <v>26</v>
      </c>
      <c r="P6" s="50"/>
      <c r="Q6" s="51" t="str">
        <f>README!I10</f>
        <v>ABND guide</v>
      </c>
    </row>
    <row r="7" spans="1:17" ht="17.25">
      <c r="A7" s="2" t="s">
        <v>342</v>
      </c>
      <c r="B7" s="1"/>
      <c r="C7" s="1"/>
      <c r="D7" s="1"/>
      <c r="E7" s="1"/>
      <c r="F7" s="37"/>
      <c r="G7" s="1"/>
      <c r="H7" s="1"/>
      <c r="I7" s="1"/>
      <c r="J7" s="1"/>
      <c r="K7" s="1"/>
      <c r="L7" s="1"/>
      <c r="M7" s="1"/>
      <c r="N7" s="1"/>
      <c r="O7" s="1"/>
      <c r="P7" s="1"/>
      <c r="Q7" s="1"/>
    </row>
    <row r="8" spans="1:18" ht="15">
      <c r="A8" s="294" t="s">
        <v>1</v>
      </c>
      <c r="B8" s="300">
        <v>2005</v>
      </c>
      <c r="C8" s="300">
        <v>2006</v>
      </c>
      <c r="D8" s="300">
        <v>2007</v>
      </c>
      <c r="E8" s="300">
        <v>2008</v>
      </c>
      <c r="F8" s="300">
        <v>2009</v>
      </c>
      <c r="G8" s="300">
        <v>2010</v>
      </c>
      <c r="H8" s="300">
        <v>2011</v>
      </c>
      <c r="I8" s="300">
        <v>2012</v>
      </c>
      <c r="J8" s="300">
        <v>2013</v>
      </c>
      <c r="K8" s="300">
        <v>2014</v>
      </c>
      <c r="L8" s="300">
        <v>2015</v>
      </c>
      <c r="M8" s="300">
        <v>2016</v>
      </c>
      <c r="N8" s="300">
        <v>2017</v>
      </c>
      <c r="O8" s="300">
        <v>2018</v>
      </c>
      <c r="P8" s="300">
        <v>2019</v>
      </c>
      <c r="Q8" s="300">
        <v>2020</v>
      </c>
      <c r="R8" s="59" t="s">
        <v>304</v>
      </c>
    </row>
    <row r="9" spans="1:17" ht="15">
      <c r="A9" s="55" t="s">
        <v>2</v>
      </c>
      <c r="B9" s="384">
        <v>0</v>
      </c>
      <c r="C9" s="384">
        <v>0</v>
      </c>
      <c r="D9" s="384">
        <v>0</v>
      </c>
      <c r="E9" s="384">
        <v>0</v>
      </c>
      <c r="F9" s="384">
        <v>0</v>
      </c>
      <c r="G9" s="384">
        <v>0</v>
      </c>
      <c r="H9" s="384">
        <v>0</v>
      </c>
      <c r="I9" s="385">
        <v>0</v>
      </c>
      <c r="J9" s="386">
        <v>0</v>
      </c>
      <c r="K9" s="386">
        <v>0</v>
      </c>
      <c r="L9" s="386">
        <v>0</v>
      </c>
      <c r="M9" s="386">
        <v>0</v>
      </c>
      <c r="N9" s="386">
        <v>0</v>
      </c>
      <c r="O9" s="386">
        <v>0</v>
      </c>
      <c r="P9" s="386">
        <v>0</v>
      </c>
      <c r="Q9" s="387">
        <v>0</v>
      </c>
    </row>
    <row r="10" spans="1:17" ht="15">
      <c r="A10" s="56" t="s">
        <v>3</v>
      </c>
      <c r="B10" s="384">
        <v>0</v>
      </c>
      <c r="C10" s="384">
        <v>0</v>
      </c>
      <c r="D10" s="384">
        <v>0</v>
      </c>
      <c r="E10" s="384">
        <v>0</v>
      </c>
      <c r="F10" s="384">
        <v>0</v>
      </c>
      <c r="G10" s="384">
        <v>0</v>
      </c>
      <c r="H10" s="384">
        <v>0</v>
      </c>
      <c r="I10" s="388">
        <v>0</v>
      </c>
      <c r="J10" s="389">
        <v>0</v>
      </c>
      <c r="K10" s="389">
        <v>0</v>
      </c>
      <c r="L10" s="389">
        <v>0</v>
      </c>
      <c r="M10" s="389">
        <v>0</v>
      </c>
      <c r="N10" s="389">
        <v>0</v>
      </c>
      <c r="O10" s="389">
        <v>0</v>
      </c>
      <c r="P10" s="389">
        <v>0</v>
      </c>
      <c r="Q10" s="390">
        <v>0</v>
      </c>
    </row>
    <row r="11" spans="1:17" ht="15">
      <c r="A11" s="56" t="s">
        <v>4</v>
      </c>
      <c r="B11" s="384">
        <v>0</v>
      </c>
      <c r="C11" s="384">
        <v>0</v>
      </c>
      <c r="D11" s="384">
        <v>0</v>
      </c>
      <c r="E11" s="384">
        <v>0</v>
      </c>
      <c r="F11" s="384">
        <v>0</v>
      </c>
      <c r="G11" s="384">
        <v>0</v>
      </c>
      <c r="H11" s="384">
        <v>0</v>
      </c>
      <c r="I11" s="388">
        <v>0</v>
      </c>
      <c r="J11" s="389">
        <v>0</v>
      </c>
      <c r="K11" s="389">
        <v>0</v>
      </c>
      <c r="L11" s="389">
        <v>0</v>
      </c>
      <c r="M11" s="389">
        <v>0</v>
      </c>
      <c r="N11" s="389">
        <v>0</v>
      </c>
      <c r="O11" s="389">
        <v>0</v>
      </c>
      <c r="P11" s="389">
        <v>0</v>
      </c>
      <c r="Q11" s="390">
        <v>0</v>
      </c>
    </row>
    <row r="12" spans="1:18" ht="15">
      <c r="A12" s="56" t="s">
        <v>5</v>
      </c>
      <c r="B12" s="384">
        <v>36.70481635215993</v>
      </c>
      <c r="C12" s="384">
        <v>34.131524317856844</v>
      </c>
      <c r="D12" s="384">
        <v>34.12245631205827</v>
      </c>
      <c r="E12" s="384">
        <v>34.29843394327226</v>
      </c>
      <c r="F12" s="384">
        <v>34.211673987927824</v>
      </c>
      <c r="G12" s="384">
        <v>32.99076625559616</v>
      </c>
      <c r="H12" s="384">
        <v>32.39168963003654</v>
      </c>
      <c r="I12" s="391">
        <v>31.792613004476923</v>
      </c>
      <c r="J12" s="392">
        <v>31.193536378917308</v>
      </c>
      <c r="K12" s="392">
        <v>30.594459753357693</v>
      </c>
      <c r="L12" s="392">
        <v>29.99538312779808</v>
      </c>
      <c r="M12" s="392">
        <v>29.396306502238463</v>
      </c>
      <c r="N12" s="392">
        <v>28.79722987667885</v>
      </c>
      <c r="O12" s="392">
        <v>28.198153251119233</v>
      </c>
      <c r="P12" s="392">
        <v>27.59907662555962</v>
      </c>
      <c r="Q12" s="393">
        <v>27</v>
      </c>
      <c r="R12" s="77" t="s">
        <v>214</v>
      </c>
    </row>
    <row r="13" spans="1:18" ht="15">
      <c r="A13" s="56" t="s">
        <v>6</v>
      </c>
      <c r="B13" s="384">
        <v>77.70385250201517</v>
      </c>
      <c r="C13" s="384">
        <v>76.74706317210779</v>
      </c>
      <c r="D13" s="384">
        <v>77.28302651191731</v>
      </c>
      <c r="E13" s="384">
        <v>78.97273600822523</v>
      </c>
      <c r="F13" s="384">
        <v>79.03138166426439</v>
      </c>
      <c r="G13" s="384">
        <v>78.3516680870305</v>
      </c>
      <c r="H13" s="384">
        <v>78.3516680870305</v>
      </c>
      <c r="I13" s="388">
        <v>78.3516680870305</v>
      </c>
      <c r="J13" s="389">
        <v>78.3516680870305</v>
      </c>
      <c r="K13" s="389">
        <v>78.3516680870305</v>
      </c>
      <c r="L13" s="389">
        <v>78.3516680870305</v>
      </c>
      <c r="M13" s="389">
        <v>78.3516680870305</v>
      </c>
      <c r="N13" s="389">
        <v>78.3516680870305</v>
      </c>
      <c r="O13" s="389">
        <v>78.3516680870305</v>
      </c>
      <c r="P13" s="389">
        <v>78.3516680870305</v>
      </c>
      <c r="Q13" s="390">
        <v>78.3516680870305</v>
      </c>
      <c r="R13" s="77" t="s">
        <v>213</v>
      </c>
    </row>
    <row r="14" spans="1:17" ht="15">
      <c r="A14" s="56" t="s">
        <v>7</v>
      </c>
      <c r="B14" s="384">
        <v>94.40818145800317</v>
      </c>
      <c r="C14" s="384">
        <v>94.18180779848018</v>
      </c>
      <c r="D14" s="384">
        <v>94.5865735084986</v>
      </c>
      <c r="E14" s="384">
        <v>94.33130532718066</v>
      </c>
      <c r="F14" s="384">
        <v>94.62069329013833</v>
      </c>
      <c r="G14" s="384">
        <v>94.11438981968611</v>
      </c>
      <c r="H14" s="384">
        <v>94.11438981968611</v>
      </c>
      <c r="I14" s="388">
        <v>94.11438981968611</v>
      </c>
      <c r="J14" s="389">
        <v>94.11438981968611</v>
      </c>
      <c r="K14" s="389">
        <v>94.11438981968611</v>
      </c>
      <c r="L14" s="389">
        <v>94.11438981968611</v>
      </c>
      <c r="M14" s="389">
        <v>94.11438981968611</v>
      </c>
      <c r="N14" s="389">
        <v>94.11438981968611</v>
      </c>
      <c r="O14" s="389">
        <v>94.11438981968611</v>
      </c>
      <c r="P14" s="389">
        <v>94.11438981968611</v>
      </c>
      <c r="Q14" s="390">
        <v>94.11438981968611</v>
      </c>
    </row>
    <row r="15" spans="1:17" ht="15">
      <c r="A15" s="56" t="s">
        <v>8</v>
      </c>
      <c r="B15" s="384">
        <v>96.57623566944933</v>
      </c>
      <c r="C15" s="384">
        <v>96.2790217874345</v>
      </c>
      <c r="D15" s="384">
        <v>96.2978405192515</v>
      </c>
      <c r="E15" s="384">
        <v>96.16260863823418</v>
      </c>
      <c r="F15" s="384">
        <v>96.02070044923857</v>
      </c>
      <c r="G15" s="384">
        <v>95.4937449617671</v>
      </c>
      <c r="H15" s="384">
        <v>95.4937449617671</v>
      </c>
      <c r="I15" s="388">
        <v>95.4937449617671</v>
      </c>
      <c r="J15" s="389">
        <v>95.4937449617671</v>
      </c>
      <c r="K15" s="389">
        <v>95.4937449617671</v>
      </c>
      <c r="L15" s="389">
        <v>95.4937449617671</v>
      </c>
      <c r="M15" s="389">
        <v>95.4937449617671</v>
      </c>
      <c r="N15" s="389">
        <v>95.4937449617671</v>
      </c>
      <c r="O15" s="389">
        <v>95.4937449617671</v>
      </c>
      <c r="P15" s="389">
        <v>95.4937449617671</v>
      </c>
      <c r="Q15" s="390">
        <v>95.4937449617671</v>
      </c>
    </row>
    <row r="16" spans="1:17" ht="15">
      <c r="A16" s="56" t="s">
        <v>9</v>
      </c>
      <c r="B16" s="384">
        <v>96.75320105197123</v>
      </c>
      <c r="C16" s="384">
        <v>96.67006640623379</v>
      </c>
      <c r="D16" s="384">
        <v>96.96753200606629</v>
      </c>
      <c r="E16" s="384">
        <v>96.8101280626864</v>
      </c>
      <c r="F16" s="384">
        <v>96.65213931384288</v>
      </c>
      <c r="G16" s="384">
        <v>96.6854671601439</v>
      </c>
      <c r="H16" s="384">
        <v>96.6854671601439</v>
      </c>
      <c r="I16" s="388">
        <v>96.6854671601439</v>
      </c>
      <c r="J16" s="389">
        <v>96.6854671601439</v>
      </c>
      <c r="K16" s="389">
        <v>96.6854671601439</v>
      </c>
      <c r="L16" s="389">
        <v>96.6854671601439</v>
      </c>
      <c r="M16" s="389">
        <v>96.6854671601439</v>
      </c>
      <c r="N16" s="389">
        <v>96.6854671601439</v>
      </c>
      <c r="O16" s="389">
        <v>96.6854671601439</v>
      </c>
      <c r="P16" s="389">
        <v>96.6854671601439</v>
      </c>
      <c r="Q16" s="390">
        <v>96.6854671601439</v>
      </c>
    </row>
    <row r="17" spans="1:17" ht="15">
      <c r="A17" s="56" t="s">
        <v>10</v>
      </c>
      <c r="B17" s="384">
        <v>96.46773662650016</v>
      </c>
      <c r="C17" s="384">
        <v>96.78416818799175</v>
      </c>
      <c r="D17" s="384">
        <v>97.16509663092205</v>
      </c>
      <c r="E17" s="384">
        <v>96.81335041713452</v>
      </c>
      <c r="F17" s="384">
        <v>96.91146085739696</v>
      </c>
      <c r="G17" s="384">
        <v>96.50054976212071</v>
      </c>
      <c r="H17" s="384">
        <v>96.50054976212071</v>
      </c>
      <c r="I17" s="388">
        <v>96.50054976212071</v>
      </c>
      <c r="J17" s="389">
        <v>96.50054976212071</v>
      </c>
      <c r="K17" s="389">
        <v>96.50054976212071</v>
      </c>
      <c r="L17" s="389">
        <v>96.50054976212071</v>
      </c>
      <c r="M17" s="389">
        <v>96.50054976212071</v>
      </c>
      <c r="N17" s="389">
        <v>96.50054976212071</v>
      </c>
      <c r="O17" s="389">
        <v>96.50054976212071</v>
      </c>
      <c r="P17" s="389">
        <v>96.50054976212071</v>
      </c>
      <c r="Q17" s="390">
        <v>96.50054976212071</v>
      </c>
    </row>
    <row r="18" spans="1:17" ht="15">
      <c r="A18" s="56" t="s">
        <v>11</v>
      </c>
      <c r="B18" s="384">
        <v>96.11197853168393</v>
      </c>
      <c r="C18" s="384">
        <v>96.20538891801526</v>
      </c>
      <c r="D18" s="384">
        <v>96.32767826468064</v>
      </c>
      <c r="E18" s="384">
        <v>96.37394685126378</v>
      </c>
      <c r="F18" s="384">
        <v>96.26015736711427</v>
      </c>
      <c r="G18" s="384">
        <v>96.06133728335276</v>
      </c>
      <c r="H18" s="384">
        <v>96.06133728335276</v>
      </c>
      <c r="I18" s="388">
        <v>96.06133728335276</v>
      </c>
      <c r="J18" s="389">
        <v>96.06133728335276</v>
      </c>
      <c r="K18" s="389">
        <v>96.06133728335276</v>
      </c>
      <c r="L18" s="389">
        <v>96.06133728335276</v>
      </c>
      <c r="M18" s="389">
        <v>96.06133728335276</v>
      </c>
      <c r="N18" s="389">
        <v>96.06133728335276</v>
      </c>
      <c r="O18" s="389">
        <v>96.06133728335276</v>
      </c>
      <c r="P18" s="389">
        <v>96.06133728335276</v>
      </c>
      <c r="Q18" s="390">
        <v>96.06133728335276</v>
      </c>
    </row>
    <row r="19" spans="1:17" ht="15">
      <c r="A19" s="56" t="s">
        <v>12</v>
      </c>
      <c r="B19" s="384">
        <v>93.38780922482354</v>
      </c>
      <c r="C19" s="384">
        <v>93.33895227922963</v>
      </c>
      <c r="D19" s="384">
        <v>94.37206272016968</v>
      </c>
      <c r="E19" s="384">
        <v>94.2585632581233</v>
      </c>
      <c r="F19" s="384">
        <v>94.26781301821543</v>
      </c>
      <c r="G19" s="384">
        <v>94.14280102925349</v>
      </c>
      <c r="H19" s="384">
        <v>94.14280102925349</v>
      </c>
      <c r="I19" s="388">
        <v>94.14280102925349</v>
      </c>
      <c r="J19" s="389">
        <v>94.14280102925349</v>
      </c>
      <c r="K19" s="389">
        <v>94.14280102925349</v>
      </c>
      <c r="L19" s="389">
        <v>94.14280102925349</v>
      </c>
      <c r="M19" s="389">
        <v>94.14280102925349</v>
      </c>
      <c r="N19" s="389">
        <v>94.14280102925349</v>
      </c>
      <c r="O19" s="389">
        <v>94.14280102925349</v>
      </c>
      <c r="P19" s="389">
        <v>94.14280102925349</v>
      </c>
      <c r="Q19" s="390">
        <v>94.14280102925349</v>
      </c>
    </row>
    <row r="20" spans="1:17" ht="15">
      <c r="A20" s="56" t="s">
        <v>13</v>
      </c>
      <c r="B20" s="384">
        <v>88.92953297805991</v>
      </c>
      <c r="C20" s="384">
        <v>89.0828978945756</v>
      </c>
      <c r="D20" s="384">
        <v>89.88927927681249</v>
      </c>
      <c r="E20" s="384">
        <v>90.01819559190201</v>
      </c>
      <c r="F20" s="384">
        <v>89.23245798267419</v>
      </c>
      <c r="G20" s="384">
        <v>88.9285059024899</v>
      </c>
      <c r="H20" s="384">
        <v>88.9285059024899</v>
      </c>
      <c r="I20" s="388">
        <v>88.9285059024899</v>
      </c>
      <c r="J20" s="389">
        <v>88.9285059024899</v>
      </c>
      <c r="K20" s="389">
        <v>88.9285059024899</v>
      </c>
      <c r="L20" s="389">
        <v>88.9285059024899</v>
      </c>
      <c r="M20" s="389">
        <v>88.9285059024899</v>
      </c>
      <c r="N20" s="389">
        <v>88.9285059024899</v>
      </c>
      <c r="O20" s="389">
        <v>88.9285059024899</v>
      </c>
      <c r="P20" s="389">
        <v>88.9285059024899</v>
      </c>
      <c r="Q20" s="390">
        <v>88.9285059024899</v>
      </c>
    </row>
    <row r="21" spans="1:17" ht="15">
      <c r="A21" s="56" t="s">
        <v>14</v>
      </c>
      <c r="B21" s="384">
        <v>71.71621890884732</v>
      </c>
      <c r="C21" s="384">
        <v>71.42264121744695</v>
      </c>
      <c r="D21" s="384">
        <v>73.84639872337343</v>
      </c>
      <c r="E21" s="384">
        <v>73.39254142275072</v>
      </c>
      <c r="F21" s="384">
        <v>73.63136323847735</v>
      </c>
      <c r="G21" s="384">
        <v>72.81542353642342</v>
      </c>
      <c r="H21" s="384">
        <v>72.81542353642342</v>
      </c>
      <c r="I21" s="388">
        <v>72.81542353642342</v>
      </c>
      <c r="J21" s="389">
        <v>72.81542353642342</v>
      </c>
      <c r="K21" s="389">
        <v>72.81542353642342</v>
      </c>
      <c r="L21" s="389">
        <v>72.81542353642342</v>
      </c>
      <c r="M21" s="389">
        <v>72.81542353642342</v>
      </c>
      <c r="N21" s="389">
        <v>72.81542353642342</v>
      </c>
      <c r="O21" s="389">
        <v>72.81542353642342</v>
      </c>
      <c r="P21" s="389">
        <v>72.81542353642342</v>
      </c>
      <c r="Q21" s="390">
        <v>72.81542353642342</v>
      </c>
    </row>
    <row r="22" spans="1:17" ht="15">
      <c r="A22" s="56" t="s">
        <v>18</v>
      </c>
      <c r="B22" s="384">
        <v>39.87104044378065</v>
      </c>
      <c r="C22" s="384">
        <v>38.30763428047182</v>
      </c>
      <c r="D22" s="384">
        <v>39.456671687464365</v>
      </c>
      <c r="E22" s="384">
        <v>39.24690942996505</v>
      </c>
      <c r="F22" s="384">
        <v>39.8227241242234</v>
      </c>
      <c r="G22" s="384">
        <v>38.26320054536451</v>
      </c>
      <c r="H22" s="384">
        <v>38.26320054536451</v>
      </c>
      <c r="I22" s="394">
        <v>38.26320054536451</v>
      </c>
      <c r="J22" s="395">
        <v>38.26320054536451</v>
      </c>
      <c r="K22" s="395">
        <v>38.26320054536451</v>
      </c>
      <c r="L22" s="395">
        <v>38.26320054536451</v>
      </c>
      <c r="M22" s="395">
        <v>38.26320054536451</v>
      </c>
      <c r="N22" s="395">
        <v>38.26320054536451</v>
      </c>
      <c r="O22" s="395">
        <v>38.26320054536451</v>
      </c>
      <c r="P22" s="395">
        <v>38.26320054536451</v>
      </c>
      <c r="Q22" s="396">
        <v>38.26320054536451</v>
      </c>
    </row>
    <row r="23" spans="1:17" ht="15">
      <c r="A23" s="296" t="s">
        <v>15</v>
      </c>
      <c r="B23" s="310">
        <v>81.06423877715564</v>
      </c>
      <c r="C23" s="310">
        <v>80.59148371510376</v>
      </c>
      <c r="D23" s="310">
        <v>81.08785729629723</v>
      </c>
      <c r="E23" s="310">
        <v>81.23417938548081</v>
      </c>
      <c r="F23" s="310">
        <v>81.31195088879991</v>
      </c>
      <c r="G23" s="310">
        <v>80.62086584915563</v>
      </c>
      <c r="H23" s="310">
        <v>80.38509037912382</v>
      </c>
      <c r="I23" s="310">
        <v>80.14856616003789</v>
      </c>
      <c r="J23" s="310">
        <v>79.91031203096234</v>
      </c>
      <c r="K23" s="310">
        <v>79.66741780487975</v>
      </c>
      <c r="L23" s="310">
        <v>79.41804671360745</v>
      </c>
      <c r="M23" s="310">
        <v>79.16359195835469</v>
      </c>
      <c r="N23" s="310">
        <v>78.90642850117774</v>
      </c>
      <c r="O23" s="310">
        <v>78.64612593514978</v>
      </c>
      <c r="P23" s="310">
        <v>78.38182042266449</v>
      </c>
      <c r="Q23" s="310">
        <v>78.11263694246578</v>
      </c>
    </row>
    <row r="24" spans="1:17" ht="15">
      <c r="A24" s="1"/>
      <c r="B24" s="1"/>
      <c r="C24" s="1"/>
      <c r="D24" s="1"/>
      <c r="E24" s="1"/>
      <c r="F24" s="37"/>
      <c r="G24" s="1"/>
      <c r="H24" s="1"/>
      <c r="I24" s="1"/>
      <c r="J24" s="1"/>
      <c r="K24" s="1"/>
      <c r="L24" s="1"/>
      <c r="M24" s="1"/>
      <c r="N24" s="1"/>
      <c r="O24" s="1"/>
      <c r="P24" s="1"/>
      <c r="Q24" s="1"/>
    </row>
    <row r="25" spans="1:17" ht="17.25">
      <c r="A25" s="5" t="s">
        <v>343</v>
      </c>
      <c r="B25" s="1"/>
      <c r="C25" s="1"/>
      <c r="D25" s="1"/>
      <c r="E25" s="1"/>
      <c r="F25" s="37"/>
      <c r="G25" s="1"/>
      <c r="H25" s="1"/>
      <c r="I25" s="1"/>
      <c r="J25" s="1"/>
      <c r="K25" s="1"/>
      <c r="L25" s="1"/>
      <c r="M25" s="1"/>
      <c r="N25" s="1"/>
      <c r="O25" s="1"/>
      <c r="P25" s="1"/>
      <c r="Q25" s="1"/>
    </row>
    <row r="26" spans="1:17" ht="15">
      <c r="A26" s="294" t="s">
        <v>1</v>
      </c>
      <c r="B26" s="295">
        <v>2005</v>
      </c>
      <c r="C26" s="295">
        <v>2006</v>
      </c>
      <c r="D26" s="295">
        <v>2007</v>
      </c>
      <c r="E26" s="295">
        <v>2008</v>
      </c>
      <c r="F26" s="301">
        <v>2009</v>
      </c>
      <c r="G26" s="295">
        <v>2010</v>
      </c>
      <c r="H26" s="295">
        <v>2011</v>
      </c>
      <c r="I26" s="76">
        <v>2012</v>
      </c>
      <c r="J26" s="76">
        <v>2013</v>
      </c>
      <c r="K26" s="76">
        <v>2014</v>
      </c>
      <c r="L26" s="76">
        <v>2015</v>
      </c>
      <c r="M26" s="76">
        <v>2016</v>
      </c>
      <c r="N26" s="76">
        <v>2017</v>
      </c>
      <c r="O26" s="76">
        <v>2018</v>
      </c>
      <c r="P26" s="76">
        <v>2019</v>
      </c>
      <c r="Q26" s="76">
        <v>2020</v>
      </c>
    </row>
    <row r="27" spans="1:17" ht="15">
      <c r="A27" s="55" t="s">
        <v>2</v>
      </c>
      <c r="B27" s="339">
        <v>0</v>
      </c>
      <c r="C27" s="339">
        <v>0</v>
      </c>
      <c r="D27" s="339">
        <v>0</v>
      </c>
      <c r="E27" s="339">
        <v>0</v>
      </c>
      <c r="F27" s="339">
        <v>0</v>
      </c>
      <c r="G27" s="339">
        <v>0</v>
      </c>
      <c r="H27" s="339">
        <v>0</v>
      </c>
      <c r="I27" s="341">
        <v>0</v>
      </c>
      <c r="J27" s="342">
        <v>0</v>
      </c>
      <c r="K27" s="342">
        <v>0</v>
      </c>
      <c r="L27" s="342">
        <v>0</v>
      </c>
      <c r="M27" s="342">
        <v>0</v>
      </c>
      <c r="N27" s="342">
        <v>0</v>
      </c>
      <c r="O27" s="342">
        <v>0</v>
      </c>
      <c r="P27" s="342">
        <v>0</v>
      </c>
      <c r="Q27" s="343">
        <v>0</v>
      </c>
    </row>
    <row r="28" spans="1:17" ht="15">
      <c r="A28" s="56" t="s">
        <v>3</v>
      </c>
      <c r="B28" s="339">
        <v>0</v>
      </c>
      <c r="C28" s="339">
        <v>0</v>
      </c>
      <c r="D28" s="339">
        <v>0</v>
      </c>
      <c r="E28" s="339">
        <v>0</v>
      </c>
      <c r="F28" s="339">
        <v>0</v>
      </c>
      <c r="G28" s="339">
        <v>0</v>
      </c>
      <c r="H28" s="339">
        <v>0</v>
      </c>
      <c r="I28" s="344">
        <v>0</v>
      </c>
      <c r="J28" s="340">
        <v>0</v>
      </c>
      <c r="K28" s="340">
        <v>0</v>
      </c>
      <c r="L28" s="340">
        <v>0</v>
      </c>
      <c r="M28" s="340">
        <v>0</v>
      </c>
      <c r="N28" s="340">
        <v>0</v>
      </c>
      <c r="O28" s="340">
        <v>0</v>
      </c>
      <c r="P28" s="340">
        <v>0</v>
      </c>
      <c r="Q28" s="345">
        <v>0</v>
      </c>
    </row>
    <row r="29" spans="1:17" ht="15">
      <c r="A29" s="56" t="s">
        <v>4</v>
      </c>
      <c r="B29" s="339">
        <v>0</v>
      </c>
      <c r="C29" s="339">
        <v>0</v>
      </c>
      <c r="D29" s="339">
        <v>0</v>
      </c>
      <c r="E29" s="339">
        <v>0</v>
      </c>
      <c r="F29" s="339">
        <v>0</v>
      </c>
      <c r="G29" s="339">
        <v>0</v>
      </c>
      <c r="H29" s="339">
        <v>0</v>
      </c>
      <c r="I29" s="344">
        <v>0</v>
      </c>
      <c r="J29" s="340">
        <v>0</v>
      </c>
      <c r="K29" s="340">
        <v>0</v>
      </c>
      <c r="L29" s="340">
        <v>0</v>
      </c>
      <c r="M29" s="340">
        <v>0</v>
      </c>
      <c r="N29" s="340">
        <v>0</v>
      </c>
      <c r="O29" s="340">
        <v>0</v>
      </c>
      <c r="P29" s="340">
        <v>0</v>
      </c>
      <c r="Q29" s="345">
        <v>0</v>
      </c>
    </row>
    <row r="30" spans="1:18" ht="15">
      <c r="A30" s="56" t="s">
        <v>5</v>
      </c>
      <c r="B30" s="339">
        <v>24.72128622316357</v>
      </c>
      <c r="C30" s="339">
        <v>21.392185720358814</v>
      </c>
      <c r="D30" s="339">
        <v>20.820834093170486</v>
      </c>
      <c r="E30" s="339">
        <v>20.021404631381504</v>
      </c>
      <c r="F30" s="339">
        <v>19.69695968210705</v>
      </c>
      <c r="G30" s="339">
        <v>18.69218824111368</v>
      </c>
      <c r="H30" s="339">
        <v>18.322969417002312</v>
      </c>
      <c r="I30" s="344">
        <v>17.953750592890945</v>
      </c>
      <c r="J30" s="340">
        <v>17.584531768779577</v>
      </c>
      <c r="K30" s="340">
        <v>17.21531294466821</v>
      </c>
      <c r="L30" s="340">
        <v>16.84609412055684</v>
      </c>
      <c r="M30" s="340">
        <v>16.476875296445474</v>
      </c>
      <c r="N30" s="340">
        <v>16.107656472334106</v>
      </c>
      <c r="O30" s="340">
        <v>15.738437648222739</v>
      </c>
      <c r="P30" s="340">
        <v>15.369218824111371</v>
      </c>
      <c r="Q30" s="345">
        <v>15</v>
      </c>
      <c r="R30" s="77" t="s">
        <v>212</v>
      </c>
    </row>
    <row r="31" spans="1:18" ht="15">
      <c r="A31" s="56" t="s">
        <v>6</v>
      </c>
      <c r="B31" s="339">
        <v>61.86194795895754</v>
      </c>
      <c r="C31" s="339">
        <v>59.31715966756026</v>
      </c>
      <c r="D31" s="339">
        <v>59.80994006464514</v>
      </c>
      <c r="E31" s="339">
        <v>60.782783777909586</v>
      </c>
      <c r="F31" s="339">
        <v>61.94666220710232</v>
      </c>
      <c r="G31" s="339">
        <v>60.31308014997262</v>
      </c>
      <c r="H31" s="339">
        <v>60.31308014997262</v>
      </c>
      <c r="I31" s="344">
        <v>60.31308014997262</v>
      </c>
      <c r="J31" s="340">
        <v>60.31308014997262</v>
      </c>
      <c r="K31" s="340">
        <v>60.31308014997262</v>
      </c>
      <c r="L31" s="340">
        <v>60.31308014997262</v>
      </c>
      <c r="M31" s="340">
        <v>60.31308014997262</v>
      </c>
      <c r="N31" s="340">
        <v>60.31308014997262</v>
      </c>
      <c r="O31" s="340">
        <v>60.31308014997262</v>
      </c>
      <c r="P31" s="340">
        <v>60.31308014997262</v>
      </c>
      <c r="Q31" s="345">
        <v>60.31308014997262</v>
      </c>
      <c r="R31" s="77" t="s">
        <v>213</v>
      </c>
    </row>
    <row r="32" spans="1:17" ht="15">
      <c r="A32" s="56" t="s">
        <v>7</v>
      </c>
      <c r="B32" s="339">
        <v>79.98394940876821</v>
      </c>
      <c r="C32" s="339">
        <v>78.86834162757349</v>
      </c>
      <c r="D32" s="339">
        <v>79.40900020874683</v>
      </c>
      <c r="E32" s="339">
        <v>80.60337564272474</v>
      </c>
      <c r="F32" s="339">
        <v>79.12694293129509</v>
      </c>
      <c r="G32" s="339">
        <v>79.07757591446524</v>
      </c>
      <c r="H32" s="339">
        <v>79.07757591446524</v>
      </c>
      <c r="I32" s="344">
        <v>79.07757591446524</v>
      </c>
      <c r="J32" s="340">
        <v>79.07757591446524</v>
      </c>
      <c r="K32" s="340">
        <v>79.07757591446524</v>
      </c>
      <c r="L32" s="340">
        <v>79.07757591446524</v>
      </c>
      <c r="M32" s="340">
        <v>79.07757591446524</v>
      </c>
      <c r="N32" s="340">
        <v>79.07757591446524</v>
      </c>
      <c r="O32" s="340">
        <v>79.07757591446524</v>
      </c>
      <c r="P32" s="340">
        <v>79.07757591446524</v>
      </c>
      <c r="Q32" s="345">
        <v>79.07757591446524</v>
      </c>
    </row>
    <row r="33" spans="1:17" ht="15">
      <c r="A33" s="56" t="s">
        <v>8</v>
      </c>
      <c r="B33" s="339">
        <v>82.4623234443063</v>
      </c>
      <c r="C33" s="339">
        <v>82.14197952267405</v>
      </c>
      <c r="D33" s="339">
        <v>82.48810399982511</v>
      </c>
      <c r="E33" s="339">
        <v>83.42795813972971</v>
      </c>
      <c r="F33" s="339">
        <v>83.82244406823072</v>
      </c>
      <c r="G33" s="339">
        <v>83.11107438164869</v>
      </c>
      <c r="H33" s="339">
        <v>83.11107438164869</v>
      </c>
      <c r="I33" s="344">
        <v>83.11107438164869</v>
      </c>
      <c r="J33" s="340">
        <v>83.11107438164869</v>
      </c>
      <c r="K33" s="340">
        <v>83.11107438164869</v>
      </c>
      <c r="L33" s="340">
        <v>83.11107438164869</v>
      </c>
      <c r="M33" s="340">
        <v>83.11107438164869</v>
      </c>
      <c r="N33" s="340">
        <v>83.11107438164869</v>
      </c>
      <c r="O33" s="340">
        <v>83.11107438164869</v>
      </c>
      <c r="P33" s="340">
        <v>83.11107438164869</v>
      </c>
      <c r="Q33" s="345">
        <v>83.11107438164869</v>
      </c>
    </row>
    <row r="34" spans="1:17" ht="15">
      <c r="A34" s="56" t="s">
        <v>9</v>
      </c>
      <c r="B34" s="339">
        <v>83.94981604136893</v>
      </c>
      <c r="C34" s="339">
        <v>83.20476143959587</v>
      </c>
      <c r="D34" s="339">
        <v>84.40904625708677</v>
      </c>
      <c r="E34" s="339">
        <v>85.04301457643211</v>
      </c>
      <c r="F34" s="339">
        <v>85.05681977510446</v>
      </c>
      <c r="G34" s="339">
        <v>85.63355065795105</v>
      </c>
      <c r="H34" s="339">
        <v>85.63355065795105</v>
      </c>
      <c r="I34" s="344">
        <v>85.63355065795105</v>
      </c>
      <c r="J34" s="340">
        <v>85.63355065795105</v>
      </c>
      <c r="K34" s="340">
        <v>85.63355065795105</v>
      </c>
      <c r="L34" s="340">
        <v>85.63355065795105</v>
      </c>
      <c r="M34" s="340">
        <v>85.63355065795105</v>
      </c>
      <c r="N34" s="340">
        <v>85.63355065795105</v>
      </c>
      <c r="O34" s="340">
        <v>85.63355065795105</v>
      </c>
      <c r="P34" s="340">
        <v>85.63355065795105</v>
      </c>
      <c r="Q34" s="345">
        <v>85.63355065795105</v>
      </c>
    </row>
    <row r="35" spans="1:17" ht="15">
      <c r="A35" s="56" t="s">
        <v>10</v>
      </c>
      <c r="B35" s="339">
        <v>82.90073204556593</v>
      </c>
      <c r="C35" s="339">
        <v>82.5570335764798</v>
      </c>
      <c r="D35" s="339">
        <v>83.3668871945276</v>
      </c>
      <c r="E35" s="339">
        <v>84.13523301863158</v>
      </c>
      <c r="F35" s="339">
        <v>84.49670818219585</v>
      </c>
      <c r="G35" s="339">
        <v>84.93942810065559</v>
      </c>
      <c r="H35" s="339">
        <v>84.93942810065559</v>
      </c>
      <c r="I35" s="344">
        <v>84.93942810065559</v>
      </c>
      <c r="J35" s="340">
        <v>84.93942810065559</v>
      </c>
      <c r="K35" s="340">
        <v>84.93942810065559</v>
      </c>
      <c r="L35" s="340">
        <v>84.93942810065559</v>
      </c>
      <c r="M35" s="340">
        <v>84.93942810065559</v>
      </c>
      <c r="N35" s="340">
        <v>84.93942810065559</v>
      </c>
      <c r="O35" s="340">
        <v>84.93942810065559</v>
      </c>
      <c r="P35" s="340">
        <v>84.93942810065559</v>
      </c>
      <c r="Q35" s="345">
        <v>84.93942810065559</v>
      </c>
    </row>
    <row r="36" spans="1:17" ht="15">
      <c r="A36" s="56" t="s">
        <v>11</v>
      </c>
      <c r="B36" s="339">
        <v>80.19721357739628</v>
      </c>
      <c r="C36" s="339">
        <v>79.49753064796464</v>
      </c>
      <c r="D36" s="339">
        <v>80.69490240853568</v>
      </c>
      <c r="E36" s="339">
        <v>81.22601286306302</v>
      </c>
      <c r="F36" s="339">
        <v>81.63399240340755</v>
      </c>
      <c r="G36" s="339">
        <v>81.45668618364051</v>
      </c>
      <c r="H36" s="339">
        <v>81.45668618364051</v>
      </c>
      <c r="I36" s="344">
        <v>81.45668618364051</v>
      </c>
      <c r="J36" s="340">
        <v>81.45668618364051</v>
      </c>
      <c r="K36" s="340">
        <v>81.45668618364051</v>
      </c>
      <c r="L36" s="340">
        <v>81.45668618364051</v>
      </c>
      <c r="M36" s="340">
        <v>81.45668618364051</v>
      </c>
      <c r="N36" s="340">
        <v>81.45668618364051</v>
      </c>
      <c r="O36" s="340">
        <v>81.45668618364051</v>
      </c>
      <c r="P36" s="340">
        <v>81.45668618364051</v>
      </c>
      <c r="Q36" s="345">
        <v>81.45668618364051</v>
      </c>
    </row>
    <row r="37" spans="1:17" ht="15">
      <c r="A37" s="56" t="s">
        <v>12</v>
      </c>
      <c r="B37" s="339">
        <v>72.26242756229603</v>
      </c>
      <c r="C37" s="339">
        <v>71.72005663240881</v>
      </c>
      <c r="D37" s="339">
        <v>73.8598132819195</v>
      </c>
      <c r="E37" s="339">
        <v>74.62911315699174</v>
      </c>
      <c r="F37" s="339">
        <v>74.94280313027842</v>
      </c>
      <c r="G37" s="339">
        <v>75.57457096118489</v>
      </c>
      <c r="H37" s="339">
        <v>75.57457096118489</v>
      </c>
      <c r="I37" s="344">
        <v>75.57457096118489</v>
      </c>
      <c r="J37" s="340">
        <v>75.57457096118489</v>
      </c>
      <c r="K37" s="340">
        <v>75.57457096118489</v>
      </c>
      <c r="L37" s="340">
        <v>75.57457096118489</v>
      </c>
      <c r="M37" s="340">
        <v>75.57457096118489</v>
      </c>
      <c r="N37" s="340">
        <v>75.57457096118489</v>
      </c>
      <c r="O37" s="340">
        <v>75.57457096118489</v>
      </c>
      <c r="P37" s="340">
        <v>75.57457096118489</v>
      </c>
      <c r="Q37" s="345">
        <v>75.57457096118489</v>
      </c>
    </row>
    <row r="38" spans="1:17" ht="15">
      <c r="A38" s="56" t="s">
        <v>13</v>
      </c>
      <c r="B38" s="339">
        <v>63.92491851344767</v>
      </c>
      <c r="C38" s="339">
        <v>64.16604918106802</v>
      </c>
      <c r="D38" s="339">
        <v>65.60886980094729</v>
      </c>
      <c r="E38" s="339">
        <v>65.97995515606326</v>
      </c>
      <c r="F38" s="339">
        <v>67.20478932951542</v>
      </c>
      <c r="G38" s="339">
        <v>67.02371505245598</v>
      </c>
      <c r="H38" s="339">
        <v>67.02371505245598</v>
      </c>
      <c r="I38" s="344">
        <v>67.02371505245598</v>
      </c>
      <c r="J38" s="340">
        <v>67.02371505245598</v>
      </c>
      <c r="K38" s="340">
        <v>67.02371505245598</v>
      </c>
      <c r="L38" s="340">
        <v>67.02371505245598</v>
      </c>
      <c r="M38" s="340">
        <v>67.02371505245598</v>
      </c>
      <c r="N38" s="340">
        <v>67.02371505245598</v>
      </c>
      <c r="O38" s="340">
        <v>67.02371505245598</v>
      </c>
      <c r="P38" s="340">
        <v>67.02371505245598</v>
      </c>
      <c r="Q38" s="345">
        <v>67.02371505245598</v>
      </c>
    </row>
    <row r="39" spans="1:17" ht="15">
      <c r="A39" s="56" t="s">
        <v>14</v>
      </c>
      <c r="B39" s="339">
        <v>46.24264578626143</v>
      </c>
      <c r="C39" s="339">
        <v>43.917613519363385</v>
      </c>
      <c r="D39" s="339">
        <v>46.99119983743171</v>
      </c>
      <c r="E39" s="339">
        <v>47.49200218313111</v>
      </c>
      <c r="F39" s="339">
        <v>49.10172846062642</v>
      </c>
      <c r="G39" s="339">
        <v>49.67448672430044</v>
      </c>
      <c r="H39" s="339">
        <v>49.67448672430044</v>
      </c>
      <c r="I39" s="344">
        <v>49.67448672430044</v>
      </c>
      <c r="J39" s="340">
        <v>49.67448672430044</v>
      </c>
      <c r="K39" s="340">
        <v>49.67448672430044</v>
      </c>
      <c r="L39" s="340">
        <v>49.67448672430044</v>
      </c>
      <c r="M39" s="340">
        <v>49.67448672430044</v>
      </c>
      <c r="N39" s="340">
        <v>49.67448672430044</v>
      </c>
      <c r="O39" s="340">
        <v>49.67448672430044</v>
      </c>
      <c r="P39" s="340">
        <v>49.67448672430044</v>
      </c>
      <c r="Q39" s="345">
        <v>49.67448672430044</v>
      </c>
    </row>
    <row r="40" spans="1:17" ht="15">
      <c r="A40" s="56" t="s">
        <v>18</v>
      </c>
      <c r="B40" s="339">
        <v>19.699311868659837</v>
      </c>
      <c r="C40" s="339">
        <v>18.47985214058881</v>
      </c>
      <c r="D40" s="339">
        <v>19.850170692299475</v>
      </c>
      <c r="E40" s="339">
        <v>19.260042605412384</v>
      </c>
      <c r="F40" s="339">
        <v>19.56790681933177</v>
      </c>
      <c r="G40" s="339">
        <v>19.0666989374583</v>
      </c>
      <c r="H40" s="339">
        <v>19.0666989374583</v>
      </c>
      <c r="I40" s="344">
        <v>19.0666989374583</v>
      </c>
      <c r="J40" s="340">
        <v>19.0666989374583</v>
      </c>
      <c r="K40" s="340">
        <v>19.0666989374583</v>
      </c>
      <c r="L40" s="340">
        <v>19.0666989374583</v>
      </c>
      <c r="M40" s="340">
        <v>19.0666989374583</v>
      </c>
      <c r="N40" s="340">
        <v>19.0666989374583</v>
      </c>
      <c r="O40" s="340">
        <v>19.0666989374583</v>
      </c>
      <c r="P40" s="340">
        <v>19.0666989374583</v>
      </c>
      <c r="Q40" s="345">
        <v>19.0666989374583</v>
      </c>
    </row>
    <row r="41" spans="1:17" ht="15">
      <c r="A41" s="296" t="s">
        <v>15</v>
      </c>
      <c r="B41" s="92">
        <v>64.32075855331412</v>
      </c>
      <c r="C41" s="92">
        <v>63.37358095700611</v>
      </c>
      <c r="D41" s="92">
        <v>64.1651729410059</v>
      </c>
      <c r="E41" s="92">
        <v>64.52406409765406</v>
      </c>
      <c r="F41" s="92">
        <v>64.66165781395425</v>
      </c>
      <c r="G41" s="92">
        <v>64.24127923030406</v>
      </c>
      <c r="H41" s="92">
        <v>63.93926928722639</v>
      </c>
      <c r="I41" s="92">
        <v>63.62795014380818</v>
      </c>
      <c r="J41" s="92">
        <v>63.3073509706889</v>
      </c>
      <c r="K41" s="92">
        <v>62.975797841317025</v>
      </c>
      <c r="L41" s="92">
        <v>62.63237094619233</v>
      </c>
      <c r="M41" s="92">
        <v>62.27848324074633</v>
      </c>
      <c r="N41" s="92">
        <v>61.91651594418756</v>
      </c>
      <c r="O41" s="92">
        <v>61.54714399549521</v>
      </c>
      <c r="P41" s="92">
        <v>61.17095398669596</v>
      </c>
      <c r="Q41" s="92">
        <v>60.78836269488443</v>
      </c>
    </row>
    <row r="42" spans="1:17" ht="15">
      <c r="A42" s="1"/>
      <c r="B42" s="1"/>
      <c r="C42" s="1"/>
      <c r="D42" s="1"/>
      <c r="E42" s="1"/>
      <c r="F42" s="37"/>
      <c r="G42" s="1"/>
      <c r="H42" s="1"/>
      <c r="I42" s="1"/>
      <c r="J42" s="1"/>
      <c r="K42" s="1"/>
      <c r="L42" s="1"/>
      <c r="M42" s="1"/>
      <c r="N42" s="1"/>
      <c r="O42" s="1"/>
      <c r="P42" s="1"/>
      <c r="Q42" s="1"/>
    </row>
    <row r="43" spans="1:17" ht="17.25">
      <c r="A43" s="5" t="s">
        <v>344</v>
      </c>
      <c r="B43" s="1"/>
      <c r="C43" s="1"/>
      <c r="D43" s="1"/>
      <c r="E43" s="1"/>
      <c r="F43" s="37"/>
      <c r="G43" s="1"/>
      <c r="H43" s="1"/>
      <c r="I43" s="1"/>
      <c r="J43" s="1"/>
      <c r="K43" s="1"/>
      <c r="L43" s="1"/>
      <c r="M43" s="1"/>
      <c r="N43" s="1"/>
      <c r="O43" s="1"/>
      <c r="P43" s="1"/>
      <c r="Q43" s="1"/>
    </row>
    <row r="44" spans="1:17" ht="15">
      <c r="A44" s="294" t="s">
        <v>1</v>
      </c>
      <c r="B44" s="295">
        <v>2005</v>
      </c>
      <c r="C44" s="295">
        <v>2006</v>
      </c>
      <c r="D44" s="295">
        <v>2007</v>
      </c>
      <c r="E44" s="295">
        <v>2008</v>
      </c>
      <c r="F44" s="295">
        <v>2009</v>
      </c>
      <c r="G44" s="295">
        <v>2010</v>
      </c>
      <c r="H44" s="295">
        <v>2011</v>
      </c>
      <c r="I44" s="295">
        <v>2012</v>
      </c>
      <c r="J44" s="295">
        <v>2013</v>
      </c>
      <c r="K44" s="295">
        <v>2014</v>
      </c>
      <c r="L44" s="295">
        <v>2015</v>
      </c>
      <c r="M44" s="295">
        <v>2016</v>
      </c>
      <c r="N44" s="295">
        <v>2017</v>
      </c>
      <c r="O44" s="295">
        <v>2018</v>
      </c>
      <c r="P44" s="295">
        <v>2019</v>
      </c>
      <c r="Q44" s="295">
        <v>2020</v>
      </c>
    </row>
    <row r="45" spans="1:17" ht="15">
      <c r="A45" s="55" t="s">
        <v>2</v>
      </c>
      <c r="B45" s="339">
        <v>0</v>
      </c>
      <c r="C45" s="339">
        <v>0</v>
      </c>
      <c r="D45" s="339">
        <v>0</v>
      </c>
      <c r="E45" s="339">
        <v>0</v>
      </c>
      <c r="F45" s="339">
        <v>0</v>
      </c>
      <c r="G45" s="339">
        <v>0</v>
      </c>
      <c r="H45" s="339">
        <v>0</v>
      </c>
      <c r="I45" s="341">
        <v>0</v>
      </c>
      <c r="J45" s="342">
        <v>0</v>
      </c>
      <c r="K45" s="342">
        <v>0</v>
      </c>
      <c r="L45" s="342">
        <v>0</v>
      </c>
      <c r="M45" s="342">
        <v>0</v>
      </c>
      <c r="N45" s="342">
        <v>0</v>
      </c>
      <c r="O45" s="342">
        <v>0</v>
      </c>
      <c r="P45" s="342">
        <v>0</v>
      </c>
      <c r="Q45" s="343">
        <v>0</v>
      </c>
    </row>
    <row r="46" spans="1:17" ht="15">
      <c r="A46" s="56" t="s">
        <v>3</v>
      </c>
      <c r="B46" s="339">
        <v>0</v>
      </c>
      <c r="C46" s="339">
        <v>0</v>
      </c>
      <c r="D46" s="339">
        <v>0</v>
      </c>
      <c r="E46" s="339">
        <v>0</v>
      </c>
      <c r="F46" s="339">
        <v>0</v>
      </c>
      <c r="G46" s="339">
        <v>0</v>
      </c>
      <c r="H46" s="339">
        <v>0</v>
      </c>
      <c r="I46" s="344">
        <v>0</v>
      </c>
      <c r="J46" s="340">
        <v>0</v>
      </c>
      <c r="K46" s="340">
        <v>0</v>
      </c>
      <c r="L46" s="340">
        <v>0</v>
      </c>
      <c r="M46" s="340">
        <v>0</v>
      </c>
      <c r="N46" s="340">
        <v>0</v>
      </c>
      <c r="O46" s="340">
        <v>0</v>
      </c>
      <c r="P46" s="340">
        <v>0</v>
      </c>
      <c r="Q46" s="345">
        <v>0</v>
      </c>
    </row>
    <row r="47" spans="1:17" ht="15">
      <c r="A47" s="56" t="s">
        <v>4</v>
      </c>
      <c r="B47" s="339">
        <v>0</v>
      </c>
      <c r="C47" s="339">
        <v>0</v>
      </c>
      <c r="D47" s="339">
        <v>0</v>
      </c>
      <c r="E47" s="339">
        <v>0</v>
      </c>
      <c r="F47" s="339">
        <v>0</v>
      </c>
      <c r="G47" s="339">
        <v>0</v>
      </c>
      <c r="H47" s="339">
        <v>0</v>
      </c>
      <c r="I47" s="344">
        <v>0</v>
      </c>
      <c r="J47" s="340">
        <v>0</v>
      </c>
      <c r="K47" s="340">
        <v>0</v>
      </c>
      <c r="L47" s="340">
        <v>0</v>
      </c>
      <c r="M47" s="340">
        <v>0</v>
      </c>
      <c r="N47" s="340">
        <v>0</v>
      </c>
      <c r="O47" s="340">
        <v>0</v>
      </c>
      <c r="P47" s="340">
        <v>0</v>
      </c>
      <c r="Q47" s="345">
        <v>0</v>
      </c>
    </row>
    <row r="48" spans="1:18" ht="15">
      <c r="A48" s="56" t="s">
        <v>5</v>
      </c>
      <c r="B48" s="339">
        <v>30.81372114877977</v>
      </c>
      <c r="C48" s="339">
        <v>27.89727942094859</v>
      </c>
      <c r="D48" s="339">
        <v>27.612436652593896</v>
      </c>
      <c r="E48" s="339">
        <v>27.314779102198134</v>
      </c>
      <c r="F48" s="339">
        <v>27.116689061671472</v>
      </c>
      <c r="G48" s="339">
        <v>25.910266226831162</v>
      </c>
      <c r="H48" s="339">
        <v>25.43131590049387</v>
      </c>
      <c r="I48" s="344">
        <f>EAP!I40/POP!I49*100</f>
        <v>24.953095053963835</v>
      </c>
      <c r="J48" s="340">
        <f>EAP!J40/POP!J49*100</f>
        <v>24.475263750219746</v>
      </c>
      <c r="K48" s="340">
        <f>EAP!K40/POP!K49*100</f>
        <v>23.997164771285124</v>
      </c>
      <c r="L48" s="340">
        <f>EAP!L40/POP!L49*100</f>
        <v>23.51825810222498</v>
      </c>
      <c r="M48" s="340">
        <f>EAP!M40/POP!M49*100</f>
        <v>23.03828952434719</v>
      </c>
      <c r="N48" s="340">
        <f>EAP!N40/POP!N49*100</f>
        <v>22.557337560324754</v>
      </c>
      <c r="O48" s="340">
        <f>EAP!O40/POP!O49*100</f>
        <v>22.075637577387567</v>
      </c>
      <c r="P48" s="340">
        <f>EAP!P40/POP!P49*100</f>
        <v>21.593576682847704</v>
      </c>
      <c r="Q48" s="345">
        <f>EAP!Q40/POP!Q49*100</f>
        <v>21.11146917793413</v>
      </c>
      <c r="R48" s="77" t="s">
        <v>241</v>
      </c>
    </row>
    <row r="49" spans="1:17" ht="15">
      <c r="A49" s="56" t="s">
        <v>6</v>
      </c>
      <c r="B49" s="339">
        <v>69.89585565588406</v>
      </c>
      <c r="C49" s="339">
        <v>68.15856029244878</v>
      </c>
      <c r="D49" s="339">
        <v>68.6862593201873</v>
      </c>
      <c r="E49" s="339">
        <v>70.0429531964627</v>
      </c>
      <c r="F49" s="339">
        <v>70.66051180734067</v>
      </c>
      <c r="G49" s="339">
        <v>69.35013371762786</v>
      </c>
      <c r="H49" s="339">
        <v>69.36018821172598</v>
      </c>
      <c r="I49" s="344">
        <v>69.36878592197658</v>
      </c>
      <c r="J49" s="340">
        <v>69.37630787699138</v>
      </c>
      <c r="K49" s="340">
        <v>69.38354337434274</v>
      </c>
      <c r="L49" s="340">
        <v>69.39122232488285</v>
      </c>
      <c r="M49" s="340">
        <v>69.39998095354589</v>
      </c>
      <c r="N49" s="340">
        <v>69.40994645068687</v>
      </c>
      <c r="O49" s="340">
        <v>69.42072917712177</v>
      </c>
      <c r="P49" s="340">
        <v>69.4314841962262</v>
      </c>
      <c r="Q49" s="345">
        <v>69.44146963230624</v>
      </c>
    </row>
    <row r="50" spans="1:17" ht="15">
      <c r="A50" s="56" t="s">
        <v>7</v>
      </c>
      <c r="B50" s="339">
        <v>87.2807435879036</v>
      </c>
      <c r="C50" s="339">
        <v>86.58281537315644</v>
      </c>
      <c r="D50" s="339">
        <v>87.07512355201318</v>
      </c>
      <c r="E50" s="339">
        <v>87.54447066026779</v>
      </c>
      <c r="F50" s="339">
        <v>86.96754981966922</v>
      </c>
      <c r="G50" s="339">
        <v>86.52937170137164</v>
      </c>
      <c r="H50" s="339">
        <v>86.54084971313823</v>
      </c>
      <c r="I50" s="344">
        <v>86.55205836045678</v>
      </c>
      <c r="J50" s="340">
        <v>86.56284599851097</v>
      </c>
      <c r="K50" s="340">
        <v>86.57323452670622</v>
      </c>
      <c r="L50" s="340">
        <v>86.58318138297227</v>
      </c>
      <c r="M50" s="340">
        <v>86.59224233038422</v>
      </c>
      <c r="N50" s="340">
        <v>86.60006570232031</v>
      </c>
      <c r="O50" s="340">
        <v>86.60696843830513</v>
      </c>
      <c r="P50" s="340">
        <v>86.61361106993391</v>
      </c>
      <c r="Q50" s="345">
        <v>86.6206063436298</v>
      </c>
    </row>
    <row r="51" spans="1:17" ht="15">
      <c r="A51" s="56" t="s">
        <v>8</v>
      </c>
      <c r="B51" s="339">
        <v>89.49964104767984</v>
      </c>
      <c r="C51" s="339">
        <v>89.06553983295215</v>
      </c>
      <c r="D51" s="339">
        <v>89.30020308624414</v>
      </c>
      <c r="E51" s="339">
        <v>89.74689371750048</v>
      </c>
      <c r="F51" s="339">
        <v>89.90736582041913</v>
      </c>
      <c r="G51" s="339">
        <v>89.17615167674602</v>
      </c>
      <c r="H51" s="339">
        <v>89.18093195739858</v>
      </c>
      <c r="I51" s="344">
        <v>89.18783604783849</v>
      </c>
      <c r="J51" s="340">
        <v>89.19661774214636</v>
      </c>
      <c r="K51" s="340">
        <v>89.20655856543098</v>
      </c>
      <c r="L51" s="340">
        <v>89.21686689988077</v>
      </c>
      <c r="M51" s="340">
        <v>89.2270377940789</v>
      </c>
      <c r="N51" s="340">
        <v>89.23696588025678</v>
      </c>
      <c r="O51" s="340">
        <v>89.24653167716599</v>
      </c>
      <c r="P51" s="340">
        <v>89.25576071378649</v>
      </c>
      <c r="Q51" s="345">
        <v>89.26462000134721</v>
      </c>
    </row>
    <row r="52" spans="1:17" ht="15">
      <c r="A52" s="56" t="s">
        <v>9</v>
      </c>
      <c r="B52" s="339">
        <v>90.23901379459697</v>
      </c>
      <c r="C52" s="339">
        <v>89.67360899627266</v>
      </c>
      <c r="D52" s="339">
        <v>90.4508323990194</v>
      </c>
      <c r="E52" s="339">
        <v>90.7278512703954</v>
      </c>
      <c r="F52" s="339">
        <v>90.68322970159112</v>
      </c>
      <c r="G52" s="339">
        <v>91.00555040850318</v>
      </c>
      <c r="H52" s="339">
        <v>91.00632137282871</v>
      </c>
      <c r="I52" s="344">
        <v>91.00699095267042</v>
      </c>
      <c r="J52" s="340">
        <v>91.00788952023325</v>
      </c>
      <c r="K52" s="340">
        <v>91.00964453110258</v>
      </c>
      <c r="L52" s="340">
        <v>91.01281448493104</v>
      </c>
      <c r="M52" s="340">
        <v>91.01780589438724</v>
      </c>
      <c r="N52" s="340">
        <v>91.02467907494884</v>
      </c>
      <c r="O52" s="340">
        <v>91.03321657052692</v>
      </c>
      <c r="P52" s="340">
        <v>91.04277744268407</v>
      </c>
      <c r="Q52" s="345">
        <v>91.05265420195268</v>
      </c>
    </row>
    <row r="53" spans="1:17" ht="15">
      <c r="A53" s="56" t="s">
        <v>10</v>
      </c>
      <c r="B53" s="339">
        <v>89.55440815820582</v>
      </c>
      <c r="C53" s="339">
        <v>89.3556414337403</v>
      </c>
      <c r="D53" s="339">
        <v>90.00269722062137</v>
      </c>
      <c r="E53" s="339">
        <v>90.29342814705842</v>
      </c>
      <c r="F53" s="339">
        <v>90.52968492551543</v>
      </c>
      <c r="G53" s="339">
        <v>90.51636847312957</v>
      </c>
      <c r="H53" s="339">
        <v>90.51515707062977</v>
      </c>
      <c r="I53" s="344">
        <v>90.51521895748297</v>
      </c>
      <c r="J53" s="340">
        <v>90.51631137386903</v>
      </c>
      <c r="K53" s="340">
        <v>90.51796003045062</v>
      </c>
      <c r="L53" s="340">
        <v>90.51974347735701</v>
      </c>
      <c r="M53" s="340">
        <v>90.52135554549517</v>
      </c>
      <c r="N53" s="340">
        <v>90.5228397810064</v>
      </c>
      <c r="O53" s="340">
        <v>90.52454130016527</v>
      </c>
      <c r="P53" s="340">
        <v>90.52711747637049</v>
      </c>
      <c r="Q53" s="345">
        <v>90.53115519007761</v>
      </c>
    </row>
    <row r="54" spans="1:17" ht="15">
      <c r="A54" s="56" t="s">
        <v>11</v>
      </c>
      <c r="B54" s="339">
        <v>87.89922236816945</v>
      </c>
      <c r="C54" s="339">
        <v>87.57684929172352</v>
      </c>
      <c r="D54" s="339">
        <v>88.16220287884508</v>
      </c>
      <c r="E54" s="339">
        <v>88.43190846580882</v>
      </c>
      <c r="F54" s="339">
        <v>88.64978097772111</v>
      </c>
      <c r="G54" s="339">
        <v>88.46733814601215</v>
      </c>
      <c r="H54" s="339">
        <v>88.46163768011681</v>
      </c>
      <c r="I54" s="344">
        <v>88.45640165255408</v>
      </c>
      <c r="J54" s="340">
        <v>88.45188588813024</v>
      </c>
      <c r="K54" s="340">
        <v>88.44844854289332</v>
      </c>
      <c r="L54" s="340">
        <v>88.44636198306695</v>
      </c>
      <c r="M54" s="340">
        <v>88.44586749001625</v>
      </c>
      <c r="N54" s="340">
        <v>88.44696241795404</v>
      </c>
      <c r="O54" s="340">
        <v>88.44934600875037</v>
      </c>
      <c r="P54" s="340">
        <v>88.45242127058603</v>
      </c>
      <c r="Q54" s="345">
        <v>88.45565380814888</v>
      </c>
    </row>
    <row r="55" spans="1:17" ht="15">
      <c r="A55" s="56" t="s">
        <v>12</v>
      </c>
      <c r="B55" s="339">
        <v>82.51212619935411</v>
      </c>
      <c r="C55" s="339">
        <v>81.97339048184111</v>
      </c>
      <c r="D55" s="339">
        <v>83.65171586357236</v>
      </c>
      <c r="E55" s="339">
        <v>83.96810209337742</v>
      </c>
      <c r="F55" s="339">
        <v>84.19089625511937</v>
      </c>
      <c r="G55" s="339">
        <v>84.44197122811826</v>
      </c>
      <c r="H55" s="339">
        <v>84.43323460569246</v>
      </c>
      <c r="I55" s="344">
        <v>84.42520137572434</v>
      </c>
      <c r="J55" s="340">
        <v>84.41779814894667</v>
      </c>
      <c r="K55" s="340">
        <v>84.41095780579921</v>
      </c>
      <c r="L55" s="340">
        <v>84.40467030746711</v>
      </c>
      <c r="M55" s="340">
        <v>84.39886671770702</v>
      </c>
      <c r="N55" s="340">
        <v>84.39361851463396</v>
      </c>
      <c r="O55" s="340">
        <v>84.3892470454586</v>
      </c>
      <c r="P55" s="340">
        <v>84.38620477165736</v>
      </c>
      <c r="Q55" s="345">
        <v>84.3848411999297</v>
      </c>
    </row>
    <row r="56" spans="1:17" ht="15">
      <c r="A56" s="56" t="s">
        <v>13</v>
      </c>
      <c r="B56" s="339">
        <v>75.88040884791471</v>
      </c>
      <c r="C56" s="339">
        <v>76.21419529938005</v>
      </c>
      <c r="D56" s="339">
        <v>77.19153485811573</v>
      </c>
      <c r="E56" s="339">
        <v>77.52297038319922</v>
      </c>
      <c r="F56" s="339">
        <v>77.74943631672716</v>
      </c>
      <c r="G56" s="339">
        <v>77.41905104119459</v>
      </c>
      <c r="H56" s="339">
        <v>77.40622511450576</v>
      </c>
      <c r="I56" s="344">
        <v>77.39438914213252</v>
      </c>
      <c r="J56" s="340">
        <v>77.3835806126062</v>
      </c>
      <c r="K56" s="340">
        <v>77.3736552666092</v>
      </c>
      <c r="L56" s="340">
        <v>77.36444802338967</v>
      </c>
      <c r="M56" s="340">
        <v>77.35596346961741</v>
      </c>
      <c r="N56" s="340">
        <v>77.34825601730732</v>
      </c>
      <c r="O56" s="340">
        <v>77.34124436075814</v>
      </c>
      <c r="P56" s="340">
        <v>77.33485882970027</v>
      </c>
      <c r="Q56" s="345">
        <v>77.32909500668578</v>
      </c>
    </row>
    <row r="57" spans="1:17" ht="15">
      <c r="A57" s="56" t="s">
        <v>14</v>
      </c>
      <c r="B57" s="339">
        <v>58.32437309767789</v>
      </c>
      <c r="C57" s="339">
        <v>56.755368387511105</v>
      </c>
      <c r="D57" s="339">
        <v>59.48307755414694</v>
      </c>
      <c r="E57" s="339">
        <v>59.61231144694422</v>
      </c>
      <c r="F57" s="339">
        <v>60.55962195510224</v>
      </c>
      <c r="G57" s="339">
        <v>60.55488878430897</v>
      </c>
      <c r="H57" s="339">
        <v>60.54483263586911</v>
      </c>
      <c r="I57" s="344">
        <v>60.533251747344764</v>
      </c>
      <c r="J57" s="340">
        <v>60.52054606006425</v>
      </c>
      <c r="K57" s="340">
        <v>60.507511039062535</v>
      </c>
      <c r="L57" s="340">
        <v>60.4949129788865</v>
      </c>
      <c r="M57" s="340">
        <v>60.48321255039636</v>
      </c>
      <c r="N57" s="340">
        <v>60.47255894908904</v>
      </c>
      <c r="O57" s="340">
        <v>60.46299968951375</v>
      </c>
      <c r="P57" s="340">
        <v>60.45437064511604</v>
      </c>
      <c r="Q57" s="345">
        <v>60.446478513482425</v>
      </c>
    </row>
    <row r="58" spans="1:17" ht="15">
      <c r="A58" s="56" t="s">
        <v>18</v>
      </c>
      <c r="B58" s="339">
        <v>28.634725422405022</v>
      </c>
      <c r="C58" s="339">
        <v>27.183494939790688</v>
      </c>
      <c r="D58" s="339">
        <v>28.42903449901949</v>
      </c>
      <c r="E58" s="339">
        <v>27.918368400767683</v>
      </c>
      <c r="F58" s="339">
        <v>28.288848653247705</v>
      </c>
      <c r="G58" s="339">
        <v>27.505757596144054</v>
      </c>
      <c r="H58" s="339">
        <v>27.49774360669196</v>
      </c>
      <c r="I58" s="346">
        <v>27.489562350777963</v>
      </c>
      <c r="J58" s="347">
        <v>27.48168446182675</v>
      </c>
      <c r="K58" s="347">
        <v>27.474547791217073</v>
      </c>
      <c r="L58" s="347">
        <v>27.468269564952625</v>
      </c>
      <c r="M58" s="347">
        <v>27.462708118020597</v>
      </c>
      <c r="N58" s="347">
        <v>27.45750431772208</v>
      </c>
      <c r="O58" s="347">
        <v>27.452282736055082</v>
      </c>
      <c r="P58" s="347">
        <v>27.446688237436195</v>
      </c>
      <c r="Q58" s="348">
        <v>27.44054409926685</v>
      </c>
    </row>
    <row r="59" spans="1:18" ht="15">
      <c r="A59" s="296" t="s">
        <v>15</v>
      </c>
      <c r="B59" s="311">
        <v>55.49344361055289</v>
      </c>
      <c r="C59" s="311">
        <v>55.414130669071405</v>
      </c>
      <c r="D59" s="311">
        <v>56.19409809301095</v>
      </c>
      <c r="E59" s="311">
        <v>56.84575039725196</v>
      </c>
      <c r="F59" s="311">
        <v>57.45949497667367</v>
      </c>
      <c r="G59" s="311">
        <v>57.83567364674332</v>
      </c>
      <c r="H59" s="311">
        <v>57.873323535749755</v>
      </c>
      <c r="I59" s="311">
        <v>57.90195036250492</v>
      </c>
      <c r="J59" s="311">
        <v>57.91773953059211</v>
      </c>
      <c r="K59" s="311">
        <v>57.91530576192967</v>
      </c>
      <c r="L59" s="311">
        <v>57.890768495330846</v>
      </c>
      <c r="M59" s="311">
        <v>57.843588755999654</v>
      </c>
      <c r="N59" s="311">
        <v>57.78001652451537</v>
      </c>
      <c r="O59" s="311">
        <v>57.69999339934244</v>
      </c>
      <c r="P59" s="311">
        <v>57.603617438383715</v>
      </c>
      <c r="Q59" s="311">
        <v>57.49097621074174</v>
      </c>
      <c r="R59" s="203"/>
    </row>
    <row r="60" spans="9:17" ht="15">
      <c r="I60" s="279"/>
      <c r="J60" s="279"/>
      <c r="K60" s="279"/>
      <c r="L60" s="279"/>
      <c r="M60" s="279"/>
      <c r="N60" s="279"/>
      <c r="O60" s="279"/>
      <c r="P60" s="279"/>
      <c r="Q60" s="279"/>
    </row>
    <row r="61" ht="15">
      <c r="F61" s="77"/>
    </row>
    <row r="62" ht="15">
      <c r="F62" s="77"/>
    </row>
    <row r="63" ht="15">
      <c r="F63" s="77"/>
    </row>
    <row r="64" ht="15">
      <c r="F64" s="77"/>
    </row>
    <row r="65" ht="15">
      <c r="F65" s="77"/>
    </row>
    <row r="66" ht="15">
      <c r="F66" s="77"/>
    </row>
    <row r="67" ht="15">
      <c r="F67" s="77"/>
    </row>
    <row r="68" ht="15">
      <c r="F68" s="77"/>
    </row>
    <row r="69" ht="15">
      <c r="F69" s="77"/>
    </row>
    <row r="70" ht="15">
      <c r="F70" s="77"/>
    </row>
    <row r="71" ht="15">
      <c r="F71" s="77"/>
    </row>
    <row r="72" ht="15">
      <c r="F72" s="77"/>
    </row>
    <row r="73" ht="15">
      <c r="F73" s="77"/>
    </row>
    <row r="74" ht="15">
      <c r="F74" s="77"/>
    </row>
    <row r="75" ht="15">
      <c r="F75" s="77"/>
    </row>
    <row r="76" ht="15">
      <c r="F76" s="77"/>
    </row>
    <row r="77" ht="15">
      <c r="F77" s="77"/>
    </row>
    <row r="78" ht="15">
      <c r="F78" s="77"/>
    </row>
    <row r="79" ht="15">
      <c r="F79" s="77"/>
    </row>
    <row r="80" ht="15">
      <c r="F80" s="77"/>
    </row>
    <row r="81" ht="15">
      <c r="F81" s="77"/>
    </row>
    <row r="82" ht="15">
      <c r="F82" s="77"/>
    </row>
    <row r="83" ht="15">
      <c r="F83" s="77"/>
    </row>
    <row r="84" ht="15">
      <c r="F84" s="77"/>
    </row>
    <row r="85" ht="15">
      <c r="F85" s="77"/>
    </row>
    <row r="86" ht="15">
      <c r="F86" s="77"/>
    </row>
    <row r="87" ht="15">
      <c r="F87" s="77"/>
    </row>
    <row r="88" ht="15">
      <c r="F88" s="77"/>
    </row>
    <row r="89" ht="15">
      <c r="F89" s="77"/>
    </row>
    <row r="90" ht="15">
      <c r="F90" s="77"/>
    </row>
    <row r="91" ht="15">
      <c r="F91" s="77"/>
    </row>
    <row r="92" ht="15">
      <c r="F92" s="77"/>
    </row>
    <row r="93" ht="15">
      <c r="F93" s="77"/>
    </row>
    <row r="94" ht="15">
      <c r="F94" s="77"/>
    </row>
    <row r="95" ht="15">
      <c r="F95" s="77"/>
    </row>
    <row r="96" ht="15">
      <c r="F96" s="77"/>
    </row>
    <row r="97" ht="15">
      <c r="F97" s="77"/>
    </row>
    <row r="98" ht="15">
      <c r="F98" s="77"/>
    </row>
    <row r="99" ht="15">
      <c r="F99" s="77"/>
    </row>
    <row r="100" ht="15">
      <c r="F100" s="77"/>
    </row>
    <row r="101" ht="15">
      <c r="F101" s="77"/>
    </row>
    <row r="102" ht="15">
      <c r="F102" s="77"/>
    </row>
    <row r="103" ht="15">
      <c r="F103" s="77"/>
    </row>
    <row r="104" ht="15">
      <c r="F104" s="77"/>
    </row>
    <row r="105" ht="15">
      <c r="F105" s="77"/>
    </row>
    <row r="106" ht="15">
      <c r="F106" s="77"/>
    </row>
    <row r="107" ht="15">
      <c r="F107" s="77"/>
    </row>
    <row r="108" ht="15">
      <c r="F108" s="77"/>
    </row>
    <row r="109" ht="15">
      <c r="F109" s="77"/>
    </row>
    <row r="110" ht="15">
      <c r="F110" s="77"/>
    </row>
    <row r="111" ht="15">
      <c r="F111" s="77"/>
    </row>
    <row r="112" ht="15">
      <c r="F112" s="77"/>
    </row>
    <row r="113" ht="15">
      <c r="F113" s="77"/>
    </row>
    <row r="114" ht="15">
      <c r="F114" s="77"/>
    </row>
    <row r="115" ht="15">
      <c r="F115" s="77"/>
    </row>
    <row r="116" ht="15">
      <c r="F116" s="77"/>
    </row>
    <row r="117" ht="15">
      <c r="F117" s="77"/>
    </row>
    <row r="118" ht="15">
      <c r="F118" s="77"/>
    </row>
    <row r="119" ht="15">
      <c r="F119" s="77"/>
    </row>
    <row r="120" ht="15">
      <c r="F120" s="77"/>
    </row>
    <row r="121" ht="15">
      <c r="F121" s="77"/>
    </row>
    <row r="122" ht="15">
      <c r="F122" s="77"/>
    </row>
    <row r="123" ht="15">
      <c r="F123" s="77"/>
    </row>
    <row r="124" ht="15">
      <c r="F124" s="77"/>
    </row>
    <row r="125" ht="15">
      <c r="F125" s="77"/>
    </row>
    <row r="126" ht="15">
      <c r="F126" s="77"/>
    </row>
    <row r="127" ht="15">
      <c r="F127" s="77"/>
    </row>
    <row r="128" ht="15">
      <c r="F128" s="77"/>
    </row>
    <row r="129" ht="15">
      <c r="F129" s="77"/>
    </row>
    <row r="130" ht="15">
      <c r="F130" s="77"/>
    </row>
    <row r="131" ht="15">
      <c r="F131" s="77"/>
    </row>
    <row r="132" ht="15">
      <c r="F132" s="77"/>
    </row>
    <row r="133" ht="15">
      <c r="F133" s="77"/>
    </row>
    <row r="134" ht="15">
      <c r="F134" s="77"/>
    </row>
    <row r="135" ht="15">
      <c r="F135" s="77"/>
    </row>
    <row r="136" ht="15">
      <c r="F136" s="77"/>
    </row>
    <row r="137" ht="15">
      <c r="F137" s="77"/>
    </row>
    <row r="138" ht="15">
      <c r="F138" s="77"/>
    </row>
    <row r="139" ht="15">
      <c r="F139" s="77"/>
    </row>
    <row r="140" ht="9.95" customHeight="1">
      <c r="F140" s="77"/>
    </row>
    <row r="141" ht="15">
      <c r="F141" s="77"/>
    </row>
    <row r="142" ht="15">
      <c r="F142" s="77"/>
    </row>
    <row r="143" ht="15">
      <c r="F143" s="77"/>
    </row>
    <row r="144" ht="15">
      <c r="F144" s="77"/>
    </row>
    <row r="145" ht="15">
      <c r="F145" s="77"/>
    </row>
    <row r="146" ht="15">
      <c r="F146" s="77"/>
    </row>
    <row r="147" ht="15">
      <c r="F147" s="77"/>
    </row>
    <row r="148" ht="15">
      <c r="F148" s="77"/>
    </row>
    <row r="149" ht="15">
      <c r="F149" s="77"/>
    </row>
    <row r="150" ht="15">
      <c r="F150" s="77"/>
    </row>
    <row r="151" ht="15">
      <c r="F151" s="77"/>
    </row>
    <row r="152" ht="15">
      <c r="F152" s="77"/>
    </row>
    <row r="153" ht="15">
      <c r="F153" s="77"/>
    </row>
    <row r="154" ht="15">
      <c r="F154" s="77"/>
    </row>
    <row r="155" ht="15">
      <c r="F155" s="77"/>
    </row>
    <row r="156" ht="15">
      <c r="F156" s="77"/>
    </row>
    <row r="157" ht="15">
      <c r="F157" s="77"/>
    </row>
    <row r="158" ht="15">
      <c r="F158" s="77"/>
    </row>
    <row r="159" ht="15">
      <c r="F159" s="77"/>
    </row>
    <row r="160" ht="15">
      <c r="F160" s="77"/>
    </row>
    <row r="161" ht="15">
      <c r="F161" s="77"/>
    </row>
    <row r="162" ht="15">
      <c r="F162" s="77"/>
    </row>
    <row r="163" ht="15">
      <c r="F163" s="77"/>
    </row>
    <row r="164" ht="15">
      <c r="F164" s="77"/>
    </row>
    <row r="165" ht="15">
      <c r="F165" s="77"/>
    </row>
    <row r="166" ht="15">
      <c r="F166" s="77"/>
    </row>
    <row r="167" ht="15">
      <c r="F167" s="77"/>
    </row>
    <row r="168" ht="15">
      <c r="F168" s="77"/>
    </row>
    <row r="169" ht="15">
      <c r="F169" s="77"/>
    </row>
    <row r="170" ht="15">
      <c r="F170" s="77"/>
    </row>
    <row r="171" ht="15">
      <c r="F171" s="77"/>
    </row>
    <row r="172" ht="15">
      <c r="F172" s="77"/>
    </row>
    <row r="173" ht="15">
      <c r="F173" s="77"/>
    </row>
    <row r="174" ht="15">
      <c r="F174" s="77"/>
    </row>
    <row r="175" ht="15">
      <c r="F175" s="77"/>
    </row>
    <row r="176" ht="15">
      <c r="F176" s="77"/>
    </row>
    <row r="177" ht="15">
      <c r="F177" s="77"/>
    </row>
    <row r="178" ht="15">
      <c r="F178" s="77"/>
    </row>
    <row r="179" ht="15">
      <c r="F179" s="77"/>
    </row>
    <row r="180" ht="15">
      <c r="F180" s="77"/>
    </row>
    <row r="181" ht="15">
      <c r="F181" s="77"/>
    </row>
    <row r="182" ht="15">
      <c r="F182" s="77"/>
    </row>
    <row r="183" ht="15">
      <c r="F183" s="77"/>
    </row>
    <row r="184" ht="15">
      <c r="F184" s="77"/>
    </row>
    <row r="185" ht="15">
      <c r="F185" s="77"/>
    </row>
    <row r="186" ht="15">
      <c r="F186" s="77"/>
    </row>
    <row r="187" ht="15">
      <c r="F187" s="77"/>
    </row>
    <row r="188" ht="15">
      <c r="F188" s="77"/>
    </row>
    <row r="189" ht="15">
      <c r="F189" s="77"/>
    </row>
    <row r="190" ht="15">
      <c r="F190" s="77"/>
    </row>
    <row r="191" ht="15">
      <c r="F191" s="77"/>
    </row>
    <row r="192" ht="15">
      <c r="F192" s="77"/>
    </row>
    <row r="193" ht="15">
      <c r="F193" s="77"/>
    </row>
    <row r="194" ht="15">
      <c r="F194" s="77"/>
    </row>
    <row r="195" ht="15">
      <c r="F195" s="77"/>
    </row>
    <row r="196" ht="15">
      <c r="F196" s="77"/>
    </row>
    <row r="197" ht="15">
      <c r="F197" s="77"/>
    </row>
    <row r="198" ht="15">
      <c r="F198" s="77"/>
    </row>
    <row r="199" ht="15">
      <c r="F199" s="77"/>
    </row>
    <row r="200" ht="15">
      <c r="F200" s="77"/>
    </row>
    <row r="201" ht="15">
      <c r="F201" s="77"/>
    </row>
    <row r="202" ht="15">
      <c r="F202" s="77"/>
    </row>
    <row r="203" ht="15">
      <c r="F203" s="77"/>
    </row>
    <row r="204" ht="15">
      <c r="F204" s="77"/>
    </row>
    <row r="205" ht="15">
      <c r="F205" s="77"/>
    </row>
    <row r="206" ht="15">
      <c r="F206" s="77"/>
    </row>
    <row r="207" ht="15">
      <c r="F207" s="77"/>
    </row>
    <row r="208" ht="15">
      <c r="F208" s="77"/>
    </row>
    <row r="209" ht="15">
      <c r="F209" s="77"/>
    </row>
    <row r="210" ht="15">
      <c r="F210" s="77"/>
    </row>
    <row r="211" ht="15">
      <c r="F211" s="77"/>
    </row>
    <row r="212" ht="15">
      <c r="F212" s="77"/>
    </row>
    <row r="213" ht="15">
      <c r="F213" s="77"/>
    </row>
    <row r="214" ht="15">
      <c r="F214" s="77"/>
    </row>
    <row r="215" ht="15">
      <c r="F215" s="77"/>
    </row>
    <row r="216" ht="15">
      <c r="F216" s="77"/>
    </row>
    <row r="217" ht="15">
      <c r="F217" s="77"/>
    </row>
    <row r="218" ht="15">
      <c r="F218" s="77"/>
    </row>
    <row r="219" ht="15">
      <c r="F219" s="77"/>
    </row>
    <row r="220" ht="9.95" customHeight="1">
      <c r="F220" s="77"/>
    </row>
    <row r="221" ht="15">
      <c r="F221" s="77"/>
    </row>
    <row r="222" ht="15">
      <c r="F222" s="77"/>
    </row>
    <row r="223" ht="15">
      <c r="F223" s="77"/>
    </row>
    <row r="224" ht="15">
      <c r="F224" s="77"/>
    </row>
    <row r="225" ht="15">
      <c r="F225" s="77"/>
    </row>
    <row r="226" ht="15">
      <c r="F226" s="77"/>
    </row>
    <row r="227" ht="15">
      <c r="F227" s="77"/>
    </row>
    <row r="228" ht="15">
      <c r="F228" s="77"/>
    </row>
    <row r="229" ht="15">
      <c r="F229" s="77"/>
    </row>
    <row r="230" ht="15">
      <c r="F230" s="77"/>
    </row>
    <row r="231" ht="15">
      <c r="F231" s="77"/>
    </row>
    <row r="232" ht="15">
      <c r="F232" s="77"/>
    </row>
    <row r="233" ht="15">
      <c r="F233" s="77"/>
    </row>
    <row r="234" ht="15">
      <c r="F234" s="77"/>
    </row>
    <row r="235" ht="15">
      <c r="F235" s="77"/>
    </row>
    <row r="236" ht="15">
      <c r="F236" s="77"/>
    </row>
    <row r="237" ht="15">
      <c r="F237" s="77"/>
    </row>
    <row r="238" ht="15">
      <c r="F238" s="77"/>
    </row>
    <row r="239" ht="15">
      <c r="F239" s="77"/>
    </row>
    <row r="240" ht="15">
      <c r="F240" s="77"/>
    </row>
    <row r="241" ht="15">
      <c r="F241" s="77"/>
    </row>
    <row r="242" ht="15">
      <c r="F242" s="77"/>
    </row>
    <row r="243" ht="15">
      <c r="F243" s="77"/>
    </row>
    <row r="244" ht="15">
      <c r="F244" s="77"/>
    </row>
    <row r="245" ht="15">
      <c r="F245" s="77"/>
    </row>
    <row r="246" ht="15">
      <c r="F246" s="77"/>
    </row>
    <row r="247" ht="15">
      <c r="F247" s="77"/>
    </row>
    <row r="248" ht="15">
      <c r="F248" s="77"/>
    </row>
    <row r="249" ht="15">
      <c r="F249" s="77"/>
    </row>
    <row r="250" ht="15">
      <c r="F250" s="77"/>
    </row>
    <row r="251" ht="15">
      <c r="F251" s="77"/>
    </row>
    <row r="252" ht="15">
      <c r="F252" s="77"/>
    </row>
    <row r="253" ht="15">
      <c r="F253" s="77"/>
    </row>
    <row r="254" ht="15">
      <c r="F254" s="77"/>
    </row>
    <row r="255" ht="15">
      <c r="F255" s="77"/>
    </row>
    <row r="256" ht="15">
      <c r="F256" s="77"/>
    </row>
    <row r="257" ht="15">
      <c r="F257" s="77"/>
    </row>
    <row r="258" ht="15">
      <c r="F258" s="77"/>
    </row>
    <row r="259" ht="15">
      <c r="F259" s="77"/>
    </row>
    <row r="260" ht="15">
      <c r="F260" s="77"/>
    </row>
    <row r="261" ht="15">
      <c r="F261" s="77"/>
    </row>
    <row r="262" ht="15">
      <c r="F262" s="77"/>
    </row>
    <row r="263" ht="15">
      <c r="F263" s="77"/>
    </row>
    <row r="264" ht="15">
      <c r="F264" s="77"/>
    </row>
    <row r="265" ht="15">
      <c r="F265" s="77"/>
    </row>
    <row r="266" ht="15">
      <c r="F266" s="77"/>
    </row>
    <row r="267" ht="15">
      <c r="F267" s="77"/>
    </row>
    <row r="268" ht="15">
      <c r="F268" s="77"/>
    </row>
    <row r="269" ht="15">
      <c r="F269" s="77"/>
    </row>
    <row r="270" ht="15">
      <c r="F270" s="77"/>
    </row>
    <row r="271" ht="15">
      <c r="F271" s="77"/>
    </row>
    <row r="272" ht="15">
      <c r="F272" s="77"/>
    </row>
    <row r="273" ht="15">
      <c r="F273" s="77"/>
    </row>
    <row r="274" ht="15">
      <c r="F274" s="77"/>
    </row>
    <row r="275" ht="15">
      <c r="F275" s="77"/>
    </row>
    <row r="276" ht="15">
      <c r="F276" s="77"/>
    </row>
    <row r="277" ht="15">
      <c r="F277" s="77"/>
    </row>
    <row r="278" ht="15">
      <c r="F278" s="77"/>
    </row>
    <row r="279" ht="15">
      <c r="F279" s="77"/>
    </row>
    <row r="280" ht="15">
      <c r="F280" s="77"/>
    </row>
    <row r="281" ht="15">
      <c r="F281" s="77"/>
    </row>
    <row r="282" ht="15">
      <c r="F282" s="77"/>
    </row>
    <row r="283" ht="15">
      <c r="F283" s="77"/>
    </row>
    <row r="284" ht="15">
      <c r="F284" s="77"/>
    </row>
    <row r="285" ht="15">
      <c r="F285" s="77"/>
    </row>
    <row r="286" ht="15">
      <c r="F286" s="77"/>
    </row>
    <row r="287" ht="15">
      <c r="F287" s="77"/>
    </row>
    <row r="288" ht="15">
      <c r="F288" s="77"/>
    </row>
    <row r="289" ht="15">
      <c r="F289" s="77"/>
    </row>
    <row r="290" ht="15">
      <c r="F290" s="77"/>
    </row>
    <row r="291" ht="15">
      <c r="F291" s="77"/>
    </row>
    <row r="292" ht="15">
      <c r="F292" s="77"/>
    </row>
    <row r="293" ht="15">
      <c r="F293" s="77"/>
    </row>
    <row r="294" ht="15">
      <c r="F294" s="77"/>
    </row>
    <row r="295" ht="15">
      <c r="F295" s="77"/>
    </row>
    <row r="296" ht="15">
      <c r="F296" s="77"/>
    </row>
    <row r="297" ht="15">
      <c r="F297" s="77"/>
    </row>
    <row r="298" ht="15">
      <c r="F298" s="77"/>
    </row>
    <row r="299" ht="15">
      <c r="F299" s="77"/>
    </row>
    <row r="300" ht="15">
      <c r="F300" s="77"/>
    </row>
    <row r="301" ht="15">
      <c r="F301" s="77"/>
    </row>
    <row r="302" ht="15">
      <c r="F302" s="77"/>
    </row>
    <row r="303" ht="15">
      <c r="F303" s="77"/>
    </row>
    <row r="304" ht="15">
      <c r="F304" s="77"/>
    </row>
    <row r="305" ht="15">
      <c r="F305" s="77"/>
    </row>
    <row r="306" ht="15">
      <c r="F306" s="77"/>
    </row>
    <row r="307" ht="15">
      <c r="F307" s="77"/>
    </row>
    <row r="308" ht="15">
      <c r="F308" s="77"/>
    </row>
    <row r="309" ht="15">
      <c r="F309" s="77"/>
    </row>
    <row r="310" ht="15">
      <c r="F310" s="77"/>
    </row>
    <row r="311" ht="15">
      <c r="F311" s="77"/>
    </row>
    <row r="312" ht="15">
      <c r="F312" s="77"/>
    </row>
    <row r="313" ht="15">
      <c r="F313" s="77"/>
    </row>
    <row r="314" ht="15">
      <c r="F314" s="77"/>
    </row>
    <row r="315" ht="15">
      <c r="F315" s="77"/>
    </row>
    <row r="316" ht="15">
      <c r="F316" s="77"/>
    </row>
    <row r="317" ht="15">
      <c r="F317" s="77"/>
    </row>
    <row r="318" ht="15">
      <c r="F318" s="77"/>
    </row>
    <row r="319" ht="15">
      <c r="F319" s="77"/>
    </row>
    <row r="320" ht="15">
      <c r="F320" s="77"/>
    </row>
    <row r="321" ht="15">
      <c r="F321" s="77"/>
    </row>
    <row r="322" ht="15">
      <c r="F322" s="77"/>
    </row>
    <row r="323" ht="15">
      <c r="F323" s="77"/>
    </row>
    <row r="324" ht="15">
      <c r="F324" s="77"/>
    </row>
    <row r="325" ht="15">
      <c r="F325" s="77"/>
    </row>
  </sheetData>
  <mergeCells count="2">
    <mergeCell ref="P4:Q4"/>
    <mergeCell ref="P5:Q5"/>
  </mergeCells>
  <printOptions/>
  <pageMargins left="0.7" right="0.7" top="0.75" bottom="0.75" header="0.3" footer="0.3"/>
  <pageSetup horizontalDpi="1200" verticalDpi="1200" orientation="portrait" paperSize="9"/>
</worksheet>
</file>

<file path=xl/worksheets/sheet5.xml><?xml version="1.0" encoding="utf-8"?>
<worksheet xmlns="http://schemas.openxmlformats.org/spreadsheetml/2006/main" xmlns:r="http://schemas.openxmlformats.org/officeDocument/2006/relationships">
  <sheetPr>
    <tabColor theme="3" tint="-0.24997000396251678"/>
  </sheetPr>
  <dimension ref="A1:R55"/>
  <sheetViews>
    <sheetView zoomScaleSheetLayoutView="100" workbookViewId="0" topLeftCell="A1">
      <pane ySplit="8" topLeftCell="A9" activePane="bottomLeft" state="frozen"/>
      <selection pane="bottomLeft" activeCell="A2" sqref="A2"/>
    </sheetView>
  </sheetViews>
  <sheetFormatPr defaultColWidth="8.8515625" defaultRowHeight="15"/>
  <cols>
    <col min="1" max="1" width="39.00390625" style="277" customWidth="1"/>
    <col min="2" max="2" width="9.57421875" style="94" customWidth="1"/>
    <col min="3" max="17" width="9.28125" style="94" customWidth="1"/>
    <col min="18" max="18" width="90.28125" style="77" bestFit="1" customWidth="1"/>
    <col min="19" max="16384" width="8.8515625" style="77" customWidth="1"/>
  </cols>
  <sheetData>
    <row r="1" spans="1:17" s="274" customFormat="1" ht="18.75">
      <c r="A1" s="61" t="s">
        <v>45</v>
      </c>
      <c r="B1" s="46"/>
      <c r="C1" s="46"/>
      <c r="D1" s="46"/>
      <c r="E1" s="45"/>
      <c r="F1" s="45"/>
      <c r="G1" s="45"/>
      <c r="H1" s="45"/>
      <c r="I1" s="45"/>
      <c r="J1" s="45"/>
      <c r="K1" s="45"/>
      <c r="L1" s="45"/>
      <c r="M1" s="45"/>
      <c r="N1" s="45"/>
      <c r="O1" s="45"/>
      <c r="P1" s="45"/>
      <c r="Q1" s="45"/>
    </row>
    <row r="2" spans="1:17" s="274" customFormat="1" ht="15">
      <c r="A2" s="45"/>
      <c r="B2" s="45"/>
      <c r="C2" s="45"/>
      <c r="D2" s="45"/>
      <c r="E2" s="45"/>
      <c r="F2" s="45"/>
      <c r="G2" s="45"/>
      <c r="H2" s="45"/>
      <c r="I2" s="45"/>
      <c r="J2" s="45"/>
      <c r="K2" s="45"/>
      <c r="L2" s="45"/>
      <c r="M2" s="45"/>
      <c r="N2" s="45"/>
      <c r="O2" s="48" t="s">
        <v>32</v>
      </c>
      <c r="P2" s="48"/>
      <c r="Q2" s="51" t="str">
        <f>README!I6</f>
        <v>1.1</v>
      </c>
    </row>
    <row r="3" spans="1:17" s="274" customFormat="1" ht="15">
      <c r="A3" s="45"/>
      <c r="B3" s="45"/>
      <c r="C3" s="45"/>
      <c r="D3" s="45"/>
      <c r="E3" s="45"/>
      <c r="F3" s="45"/>
      <c r="G3" s="45"/>
      <c r="H3" s="45"/>
      <c r="I3" s="45"/>
      <c r="J3" s="45"/>
      <c r="K3" s="45"/>
      <c r="L3" s="45"/>
      <c r="M3" s="45"/>
      <c r="N3" s="45"/>
      <c r="O3" s="48" t="s">
        <v>26</v>
      </c>
      <c r="P3" s="48"/>
      <c r="Q3" s="51" t="str">
        <f>README!I7</f>
        <v>Coresia</v>
      </c>
    </row>
    <row r="4" spans="1:17" s="274" customFormat="1" ht="15">
      <c r="A4" s="45"/>
      <c r="B4" s="45"/>
      <c r="C4" s="45"/>
      <c r="D4" s="45"/>
      <c r="E4" s="45"/>
      <c r="F4" s="45"/>
      <c r="G4" s="45"/>
      <c r="H4" s="45"/>
      <c r="I4" s="45"/>
      <c r="J4" s="45"/>
      <c r="K4" s="45"/>
      <c r="L4" s="45"/>
      <c r="M4" s="45"/>
      <c r="N4" s="45"/>
      <c r="O4" s="48" t="s">
        <v>33</v>
      </c>
      <c r="P4" s="595">
        <f>README!H8</f>
        <v>41565</v>
      </c>
      <c r="Q4" s="595">
        <f>README!I8</f>
        <v>0</v>
      </c>
    </row>
    <row r="5" spans="1:17" s="274" customFormat="1" ht="15">
      <c r="A5" s="45"/>
      <c r="B5" s="290"/>
      <c r="C5" s="45"/>
      <c r="D5" s="45"/>
      <c r="E5" s="45"/>
      <c r="F5" s="45"/>
      <c r="G5" s="45"/>
      <c r="H5" s="45"/>
      <c r="I5" s="45"/>
      <c r="J5" s="45"/>
      <c r="K5" s="45"/>
      <c r="L5" s="45"/>
      <c r="M5" s="45"/>
      <c r="N5" s="45"/>
      <c r="O5" s="48" t="s">
        <v>25</v>
      </c>
      <c r="P5" s="595">
        <f>README!H9</f>
        <v>41605</v>
      </c>
      <c r="Q5" s="595">
        <f>README!I9</f>
        <v>0</v>
      </c>
    </row>
    <row r="6" spans="1:17" s="274" customFormat="1" ht="15">
      <c r="A6" s="45"/>
      <c r="B6" s="45"/>
      <c r="C6" s="292"/>
      <c r="D6" s="45"/>
      <c r="E6" s="45"/>
      <c r="F6" s="45"/>
      <c r="G6" s="45"/>
      <c r="H6" s="45"/>
      <c r="I6" s="45"/>
      <c r="J6" s="45"/>
      <c r="K6" s="45"/>
      <c r="L6" s="45"/>
      <c r="M6" s="45"/>
      <c r="N6" s="45"/>
      <c r="O6" s="48" t="s">
        <v>26</v>
      </c>
      <c r="P6" s="48"/>
      <c r="Q6" s="51" t="str">
        <f>README!I10</f>
        <v>ABND guide</v>
      </c>
    </row>
    <row r="7" spans="1:17" s="274" customFormat="1" ht="15">
      <c r="A7" s="45"/>
      <c r="B7" s="45"/>
      <c r="C7" s="45"/>
      <c r="D7" s="45"/>
      <c r="E7" s="45"/>
      <c r="F7" s="45"/>
      <c r="G7" s="45"/>
      <c r="H7" s="45"/>
      <c r="I7" s="292"/>
      <c r="J7" s="292"/>
      <c r="K7" s="292"/>
      <c r="L7" s="292"/>
      <c r="M7" s="292"/>
      <c r="N7" s="292"/>
      <c r="O7" s="292"/>
      <c r="P7" s="292"/>
      <c r="Q7" s="292"/>
    </row>
    <row r="8" spans="1:18" s="274" customFormat="1" ht="15">
      <c r="A8" s="167" t="s">
        <v>220</v>
      </c>
      <c r="B8" s="58">
        <v>2005</v>
      </c>
      <c r="C8" s="58">
        <v>2006</v>
      </c>
      <c r="D8" s="58">
        <v>2007</v>
      </c>
      <c r="E8" s="58">
        <v>2008</v>
      </c>
      <c r="F8" s="58">
        <v>2009</v>
      </c>
      <c r="G8" s="58">
        <v>2010</v>
      </c>
      <c r="H8" s="58">
        <v>2011</v>
      </c>
      <c r="I8" s="58">
        <v>2012</v>
      </c>
      <c r="J8" s="58">
        <v>2013</v>
      </c>
      <c r="K8" s="58">
        <v>2014</v>
      </c>
      <c r="L8" s="58">
        <v>2015</v>
      </c>
      <c r="M8" s="58">
        <v>2016</v>
      </c>
      <c r="N8" s="58">
        <v>2017</v>
      </c>
      <c r="O8" s="58">
        <v>2018</v>
      </c>
      <c r="P8" s="58">
        <v>2019</v>
      </c>
      <c r="Q8" s="58">
        <v>2020</v>
      </c>
      <c r="R8" s="59" t="s">
        <v>304</v>
      </c>
    </row>
    <row r="9" spans="1:18" s="266" customFormat="1" ht="15">
      <c r="A9" s="312" t="s">
        <v>148</v>
      </c>
      <c r="B9" s="397">
        <v>0.0447</v>
      </c>
      <c r="C9" s="398">
        <v>0.0471</v>
      </c>
      <c r="D9" s="398">
        <v>0.0225</v>
      </c>
      <c r="E9" s="398">
        <v>0.054</v>
      </c>
      <c r="F9" s="398">
        <v>-0.0085</v>
      </c>
      <c r="G9" s="398">
        <v>0.0335</v>
      </c>
      <c r="H9" s="399">
        <v>0.0379</v>
      </c>
      <c r="I9" s="431">
        <v>0.0303</v>
      </c>
      <c r="J9" s="431">
        <v>0.0242</v>
      </c>
      <c r="K9" s="431">
        <v>0.0254</v>
      </c>
      <c r="L9" s="431">
        <v>0.0247</v>
      </c>
      <c r="M9" s="431">
        <v>0.0249</v>
      </c>
      <c r="N9" s="431">
        <v>0.0251</v>
      </c>
      <c r="O9" s="431">
        <v>0.0253</v>
      </c>
      <c r="P9" s="431">
        <v>0.0246</v>
      </c>
      <c r="Q9" s="432">
        <v>0.0255</v>
      </c>
      <c r="R9" s="266" t="s">
        <v>215</v>
      </c>
    </row>
    <row r="10" spans="1:17" s="274" customFormat="1" ht="15">
      <c r="A10" s="162"/>
      <c r="B10" s="91"/>
      <c r="C10" s="91"/>
      <c r="D10" s="91"/>
      <c r="E10" s="91"/>
      <c r="F10" s="91"/>
      <c r="G10" s="91"/>
      <c r="H10" s="87"/>
      <c r="I10" s="87"/>
      <c r="J10" s="87"/>
      <c r="K10" s="87"/>
      <c r="L10" s="87"/>
      <c r="M10" s="87"/>
      <c r="N10" s="87"/>
      <c r="O10" s="87"/>
      <c r="P10" s="87"/>
      <c r="Q10" s="86"/>
    </row>
    <row r="11" spans="1:17" s="274" customFormat="1" ht="15">
      <c r="A11" s="79" t="s">
        <v>106</v>
      </c>
      <c r="B11" s="352">
        <v>6621.4</v>
      </c>
      <c r="C11" s="353">
        <v>7257.3</v>
      </c>
      <c r="D11" s="353">
        <v>7369.3</v>
      </c>
      <c r="E11" s="353">
        <v>7823.3</v>
      </c>
      <c r="F11" s="353">
        <v>7846.1</v>
      </c>
      <c r="G11" s="353">
        <v>8411.8</v>
      </c>
      <c r="H11" s="354">
        <v>9043.8</v>
      </c>
      <c r="I11" s="433">
        <v>10043.2</v>
      </c>
      <c r="J11" s="433">
        <v>11658.1</v>
      </c>
      <c r="K11" s="433">
        <f>J11*(1+K12)</f>
        <v>12357.586000000001</v>
      </c>
      <c r="L11" s="433">
        <f aca="true" t="shared" si="0" ref="L11:Q11">K11*(1+L12)</f>
        <v>13099.041160000002</v>
      </c>
      <c r="M11" s="433">
        <f t="shared" si="0"/>
        <v>13884.983629600003</v>
      </c>
      <c r="N11" s="433">
        <f t="shared" si="0"/>
        <v>14718.082647376004</v>
      </c>
      <c r="O11" s="433">
        <f t="shared" si="0"/>
        <v>15601.167606218565</v>
      </c>
      <c r="P11" s="433">
        <f t="shared" si="0"/>
        <v>16537.23766259168</v>
      </c>
      <c r="Q11" s="434">
        <f t="shared" si="0"/>
        <v>17529.471922347184</v>
      </c>
    </row>
    <row r="12" spans="1:18" s="274" customFormat="1" ht="15">
      <c r="A12" s="80" t="s">
        <v>107</v>
      </c>
      <c r="B12" s="400"/>
      <c r="C12" s="401">
        <f aca="true" t="shared" si="1" ref="C12:J12">(C11-B11)/B11</f>
        <v>0.09603709185368661</v>
      </c>
      <c r="D12" s="401">
        <f t="shared" si="1"/>
        <v>0.01543273669270941</v>
      </c>
      <c r="E12" s="401">
        <f t="shared" si="1"/>
        <v>0.06160693688681421</v>
      </c>
      <c r="F12" s="401">
        <f t="shared" si="1"/>
        <v>0.002914371173290067</v>
      </c>
      <c r="G12" s="401">
        <f t="shared" si="1"/>
        <v>0.07209951440843207</v>
      </c>
      <c r="H12" s="402">
        <f t="shared" si="1"/>
        <v>0.07513255189139068</v>
      </c>
      <c r="I12" s="435">
        <f t="shared" si="1"/>
        <v>0.11050664543665291</v>
      </c>
      <c r="J12" s="435">
        <f t="shared" si="1"/>
        <v>0.16079536402740158</v>
      </c>
      <c r="K12" s="435">
        <v>0.06</v>
      </c>
      <c r="L12" s="435">
        <v>0.06</v>
      </c>
      <c r="M12" s="435">
        <v>0.06</v>
      </c>
      <c r="N12" s="435">
        <v>0.06</v>
      </c>
      <c r="O12" s="435">
        <v>0.06</v>
      </c>
      <c r="P12" s="435">
        <v>0.06</v>
      </c>
      <c r="Q12" s="436">
        <v>0.06</v>
      </c>
      <c r="R12" s="274" t="s">
        <v>337</v>
      </c>
    </row>
    <row r="13" spans="1:18" s="274" customFormat="1" ht="15">
      <c r="A13" s="78" t="s">
        <v>200</v>
      </c>
      <c r="B13" s="403">
        <v>150</v>
      </c>
      <c r="C13" s="404">
        <v>154</v>
      </c>
      <c r="D13" s="404">
        <v>157</v>
      </c>
      <c r="E13" s="404">
        <v>161</v>
      </c>
      <c r="F13" s="404">
        <v>161</v>
      </c>
      <c r="G13" s="404">
        <v>167</v>
      </c>
      <c r="H13" s="405">
        <v>177</v>
      </c>
      <c r="I13" s="437">
        <f>H13*(1+0.4)</f>
        <v>247.79999999999998</v>
      </c>
      <c r="J13" s="437">
        <v>300</v>
      </c>
      <c r="K13" s="437">
        <f>J13*(1+K9)</f>
        <v>307.62</v>
      </c>
      <c r="L13" s="437">
        <f aca="true" t="shared" si="2" ref="L13:Q13">K13*(1+L9)</f>
        <v>315.218214</v>
      </c>
      <c r="M13" s="437">
        <f t="shared" si="2"/>
        <v>323.06714752859995</v>
      </c>
      <c r="N13" s="437">
        <f t="shared" si="2"/>
        <v>331.1761329315678</v>
      </c>
      <c r="O13" s="437">
        <f t="shared" si="2"/>
        <v>339.5548890947365</v>
      </c>
      <c r="P13" s="437">
        <f t="shared" si="2"/>
        <v>347.907939366467</v>
      </c>
      <c r="Q13" s="438">
        <f t="shared" si="2"/>
        <v>356.77959182031196</v>
      </c>
      <c r="R13" s="274" t="s">
        <v>217</v>
      </c>
    </row>
    <row r="14" spans="1:17" s="274" customFormat="1" ht="15.75" customHeight="1">
      <c r="A14" s="78" t="s">
        <v>201</v>
      </c>
      <c r="B14" s="403">
        <v>109424.54255637954</v>
      </c>
      <c r="C14" s="404">
        <v>113617.48263828819</v>
      </c>
      <c r="D14" s="404">
        <v>117491.42645695334</v>
      </c>
      <c r="E14" s="404">
        <v>117914.62708688737</v>
      </c>
      <c r="F14" s="404">
        <v>113060.61919962967</v>
      </c>
      <c r="G14" s="404">
        <v>125951.81331031544</v>
      </c>
      <c r="H14" s="405">
        <v>125339.43448444246</v>
      </c>
      <c r="I14" s="437">
        <f aca="true" t="shared" si="3" ref="I14:Q14">I27*10^6/I18</f>
        <v>130903.67090175189</v>
      </c>
      <c r="J14" s="437">
        <f t="shared" si="3"/>
        <v>137192.08570689926</v>
      </c>
      <c r="K14" s="437">
        <f t="shared" si="3"/>
        <v>143944.84574546825</v>
      </c>
      <c r="L14" s="437">
        <f t="shared" si="3"/>
        <v>151094.13698842423</v>
      </c>
      <c r="M14" s="437">
        <f t="shared" si="3"/>
        <v>158786.73067324888</v>
      </c>
      <c r="N14" s="437">
        <f t="shared" si="3"/>
        <v>166883.97353862805</v>
      </c>
      <c r="O14" s="437">
        <f t="shared" si="3"/>
        <v>175595.5414013729</v>
      </c>
      <c r="P14" s="437">
        <f t="shared" si="3"/>
        <v>184775.38089304522</v>
      </c>
      <c r="Q14" s="438">
        <f t="shared" si="3"/>
        <v>194657.59003393824</v>
      </c>
    </row>
    <row r="15" spans="1:17" s="274" customFormat="1" ht="15">
      <c r="A15" s="80" t="s">
        <v>112</v>
      </c>
      <c r="B15" s="406"/>
      <c r="C15" s="401">
        <f>(C14-B14)/B14</f>
        <v>0.038318095593118766</v>
      </c>
      <c r="D15" s="401">
        <f aca="true" t="shared" si="4" ref="D15:H15">(D14-C14)/C14</f>
        <v>0.034096370811156004</v>
      </c>
      <c r="E15" s="401">
        <f t="shared" si="4"/>
        <v>0.0036019703113323</v>
      </c>
      <c r="F15" s="401">
        <f t="shared" si="4"/>
        <v>-0.04116544322937088</v>
      </c>
      <c r="G15" s="401">
        <f t="shared" si="4"/>
        <v>0.11402019732373794</v>
      </c>
      <c r="H15" s="402">
        <f t="shared" si="4"/>
        <v>-0.004862008809386651</v>
      </c>
      <c r="I15" s="435">
        <f aca="true" t="shared" si="5" ref="I15">(I14-H14)/H14</f>
        <v>0.04439334228845652</v>
      </c>
      <c r="J15" s="435">
        <f aca="true" t="shared" si="6" ref="J15">(J14-I14)/I14</f>
        <v>0.04803849091342187</v>
      </c>
      <c r="K15" s="435">
        <f aca="true" t="shared" si="7" ref="K15">(K14-J14)/J14</f>
        <v>0.04922120692148204</v>
      </c>
      <c r="L15" s="435">
        <f aca="true" t="shared" si="8" ref="L15">(L14-K14)/K14</f>
        <v>0.04966687904614367</v>
      </c>
      <c r="M15" s="435">
        <f aca="true" t="shared" si="9" ref="M15">(M14-L14)/L14</f>
        <v>0.05091258892073358</v>
      </c>
      <c r="N15" s="435">
        <f aca="true" t="shared" si="10" ref="N15">(N14-M14)/M14</f>
        <v>0.050994455462665</v>
      </c>
      <c r="O15" s="435">
        <f aca="true" t="shared" si="11" ref="O15">(O14-N14)/N14</f>
        <v>0.052201344910620874</v>
      </c>
      <c r="P15" s="435">
        <f aca="true" t="shared" si="12" ref="P15">(P14-O14)/O14</f>
        <v>0.052278317652093564</v>
      </c>
      <c r="Q15" s="436">
        <f aca="true" t="shared" si="13" ref="Q15">(Q14-P14)/P14</f>
        <v>0.05348228261325138</v>
      </c>
    </row>
    <row r="16" spans="1:18" ht="15">
      <c r="A16" s="82" t="s">
        <v>114</v>
      </c>
      <c r="B16" s="407">
        <v>0.0183488422167841</v>
      </c>
      <c r="C16" s="408">
        <v>0.0151</v>
      </c>
      <c r="D16" s="408">
        <v>0.0137642858080894</v>
      </c>
      <c r="E16" s="408">
        <v>0.0138454812041255</v>
      </c>
      <c r="F16" s="408">
        <v>0.0148943088788264</v>
      </c>
      <c r="G16" s="408">
        <v>0.0109012196691574</v>
      </c>
      <c r="H16" s="409">
        <v>0.0107537378101794</v>
      </c>
      <c r="I16" s="439">
        <f>Unemployment_Poverty!B43/100</f>
        <v>0.010225037000572534</v>
      </c>
      <c r="J16" s="439">
        <f>Unemployment_Poverty!C43/100</f>
        <v>0.009854368016985528</v>
      </c>
      <c r="K16" s="439">
        <f>Unemployment_Poverty!D43/100</f>
        <v>0.009510850199725447</v>
      </c>
      <c r="L16" s="439">
        <f>Unemployment_Poverty!E43/100</f>
        <v>0.0095</v>
      </c>
      <c r="M16" s="439">
        <f>Unemployment_Poverty!F43/100</f>
        <v>0.0095</v>
      </c>
      <c r="N16" s="439">
        <f>Unemployment_Poverty!G43/100</f>
        <v>0.009500000000000001</v>
      </c>
      <c r="O16" s="439">
        <f>Unemployment_Poverty!H43/100</f>
        <v>0.0095</v>
      </c>
      <c r="P16" s="439">
        <f>Unemployment_Poverty!I43/100</f>
        <v>0.009499999999999998</v>
      </c>
      <c r="Q16" s="440">
        <f>Unemployment_Poverty!J43/100</f>
        <v>0.0095</v>
      </c>
      <c r="R16" s="131"/>
    </row>
    <row r="17" spans="1:18" ht="15">
      <c r="A17" s="82" t="s">
        <v>218</v>
      </c>
      <c r="B17" s="403">
        <f>Unemployment_Poverty!B49</f>
        <v>651.3889389436947</v>
      </c>
      <c r="C17" s="404">
        <f>Unemployment_Poverty!C49</f>
        <v>536.8198317323466</v>
      </c>
      <c r="D17" s="404">
        <f>Unemployment_Poverty!D49</f>
        <v>498.35913679878524</v>
      </c>
      <c r="E17" s="404">
        <f>Unemployment_Poverty!E49</f>
        <v>506.17407698918214</v>
      </c>
      <c r="F17" s="404">
        <f>Unemployment_Poverty!F49</f>
        <v>550.0221614169776</v>
      </c>
      <c r="G17" s="404">
        <f>Unemployment_Poverty!G49</f>
        <v>384.82135576595107</v>
      </c>
      <c r="H17" s="405">
        <f>Unemployment_Poverty!H49</f>
        <v>399.39761285759494</v>
      </c>
      <c r="I17" s="437">
        <f>Unemployment_Poverty!I49</f>
        <v>381.0442238648194</v>
      </c>
      <c r="J17" s="437">
        <f>Unemployment_Poverty!J49</f>
        <v>368.8313240652883</v>
      </c>
      <c r="K17" s="437">
        <f>Unemployment_Poverty!K49</f>
        <v>357.132214279231</v>
      </c>
      <c r="L17" s="437">
        <f>Unemployment_Poverty!L49</f>
        <v>357.85361632253887</v>
      </c>
      <c r="M17" s="437">
        <f>Unemployment_Poverty!M49</f>
        <v>358.5644153093838</v>
      </c>
      <c r="N17" s="437">
        <f>Unemployment_Poverty!N49</f>
        <v>359.2486405216755</v>
      </c>
      <c r="O17" s="437">
        <f>Unemployment_Poverty!O49</f>
        <v>359.5213219400114</v>
      </c>
      <c r="P17" s="437">
        <f>Unemployment_Poverty!P49</f>
        <v>359.7678918705968</v>
      </c>
      <c r="Q17" s="438">
        <f>Unemployment_Poverty!Q49</f>
        <v>359.6031906678154</v>
      </c>
      <c r="R17" s="146"/>
    </row>
    <row r="18" spans="1:18" ht="15">
      <c r="A18" s="81" t="s">
        <v>219</v>
      </c>
      <c r="B18" s="410">
        <f>EAP!B51-ECO!B17</f>
        <v>34685.11759632566</v>
      </c>
      <c r="C18" s="411">
        <f>EAP!C51-ECO!C17</f>
        <v>34765.884262351035</v>
      </c>
      <c r="D18" s="411">
        <f>EAP!D51-ECO!D17</f>
        <v>35529.55292814272</v>
      </c>
      <c r="E18" s="411">
        <f>EAP!E51-ECO!E17</f>
        <v>35962.493319979876</v>
      </c>
      <c r="F18" s="411">
        <f>EAP!F51-ECO!F17</f>
        <v>36287.07477393041</v>
      </c>
      <c r="G18" s="411">
        <f>EAP!G51-ECO!G17</f>
        <v>36508.4362619397</v>
      </c>
      <c r="H18" s="412">
        <f>EAP!H51-ECO!H17</f>
        <v>36687.22934597898</v>
      </c>
      <c r="I18" s="441">
        <f>EAP!I51-ECO!I17</f>
        <v>36884.75968897026</v>
      </c>
      <c r="J18" s="441">
        <f>EAP!J51-ECO!J17</f>
        <v>37059.375480221956</v>
      </c>
      <c r="K18" s="441">
        <f>EAP!K51-ECO!K17</f>
        <v>37192.84562992447</v>
      </c>
      <c r="L18" s="441">
        <f>EAP!L51-ECO!L17</f>
        <v>37310.94810183946</v>
      </c>
      <c r="M18" s="441">
        <f>EAP!M51-ECO!M17</f>
        <v>37385.05824883627</v>
      </c>
      <c r="N18" s="441">
        <f>EAP!N51-ECO!N17</f>
        <v>37456.39773018101</v>
      </c>
      <c r="O18" s="441">
        <f>EAP!O51-ECO!O17</f>
        <v>37484.82835595593</v>
      </c>
      <c r="P18" s="441">
        <f>EAP!P51-ECO!P17</f>
        <v>37510.536515560656</v>
      </c>
      <c r="Q18" s="442">
        <f>EAP!Q51-ECO!Q17</f>
        <v>37493.3642480496</v>
      </c>
      <c r="R18" s="147" t="s">
        <v>336</v>
      </c>
    </row>
    <row r="19" spans="1:17" s="274" customFormat="1" ht="15">
      <c r="A19" s="163"/>
      <c r="B19" s="164"/>
      <c r="C19" s="90"/>
      <c r="D19" s="90"/>
      <c r="E19" s="90"/>
      <c r="F19" s="90"/>
      <c r="G19" s="90"/>
      <c r="H19" s="90"/>
      <c r="I19" s="90"/>
      <c r="J19" s="90"/>
      <c r="K19" s="90"/>
      <c r="L19" s="90"/>
      <c r="M19" s="90"/>
      <c r="N19" s="90"/>
      <c r="O19" s="90"/>
      <c r="P19" s="90"/>
      <c r="Q19" s="148"/>
    </row>
    <row r="20" spans="1:18" s="266" customFormat="1" ht="15">
      <c r="A20" s="150" t="s">
        <v>108</v>
      </c>
      <c r="B20" s="413"/>
      <c r="C20" s="414">
        <v>1386.4161169675724</v>
      </c>
      <c r="D20" s="414">
        <v>1443.4549044625583</v>
      </c>
      <c r="E20" s="414">
        <v>1578.6137425565655</v>
      </c>
      <c r="F20" s="414">
        <v>1586.3772580074356</v>
      </c>
      <c r="G20" s="414">
        <v>1678</v>
      </c>
      <c r="H20" s="415">
        <v>1741.7018518518519</v>
      </c>
      <c r="I20" s="433">
        <f>H20*(1+I9)</f>
        <v>1794.4754179629629</v>
      </c>
      <c r="J20" s="433">
        <f aca="true" t="shared" si="14" ref="J20:Q20">I20*(1+J9)</f>
        <v>1837.9017230776665</v>
      </c>
      <c r="K20" s="433">
        <f t="shared" si="14"/>
        <v>1884.5844268438393</v>
      </c>
      <c r="L20" s="433">
        <f t="shared" si="14"/>
        <v>1931.133662186882</v>
      </c>
      <c r="M20" s="433">
        <f t="shared" si="14"/>
        <v>1979.2188903753351</v>
      </c>
      <c r="N20" s="433">
        <f t="shared" si="14"/>
        <v>2028.8972845237558</v>
      </c>
      <c r="O20" s="433">
        <f t="shared" si="14"/>
        <v>2080.228385822207</v>
      </c>
      <c r="P20" s="433">
        <f t="shared" si="14"/>
        <v>2131.4020041134336</v>
      </c>
      <c r="Q20" s="434">
        <f t="shared" si="14"/>
        <v>2185.7527552183265</v>
      </c>
      <c r="R20" s="266" t="s">
        <v>246</v>
      </c>
    </row>
    <row r="21" spans="1:17" s="266" customFormat="1" ht="15">
      <c r="A21" s="151" t="s">
        <v>209</v>
      </c>
      <c r="B21" s="416">
        <f>Unemployment_Poverty!B91</f>
        <v>0.1504343810152473</v>
      </c>
      <c r="C21" s="401">
        <f>Unemployment_Poverty!C91</f>
        <v>0.14007411116111612</v>
      </c>
      <c r="D21" s="401">
        <f>Unemployment_Poverty!D91</f>
        <v>0.12169954481983043</v>
      </c>
      <c r="E21" s="401">
        <f>Unemployment_Poverty!E91</f>
        <v>0.12500488862100737</v>
      </c>
      <c r="F21" s="401">
        <f>Unemployment_Poverty!F91</f>
        <v>0.11227854288907115</v>
      </c>
      <c r="G21" s="401">
        <f>Unemployment_Poverty!G91</f>
        <v>0.11150775807349486</v>
      </c>
      <c r="H21" s="402">
        <f>Unemployment_Poverty!H91</f>
        <v>0.11403435820038162</v>
      </c>
      <c r="I21" s="435">
        <f>Unemployment_Poverty!I91</f>
        <v>0.09877276665050652</v>
      </c>
      <c r="J21" s="435">
        <f>Unemployment_Poverty!J91</f>
        <v>0.09371805152589206</v>
      </c>
      <c r="K21" s="435">
        <f>Unemployment_Poverty!K91</f>
        <v>0.08877977220473643</v>
      </c>
      <c r="L21" s="435">
        <f>Unemployment_Poverty!L91</f>
        <v>0.08419000009818482</v>
      </c>
      <c r="M21" s="435">
        <f>Unemployment_Poverty!M91</f>
        <v>0.07961777949283091</v>
      </c>
      <c r="N21" s="435">
        <f>Unemployment_Poverty!N91</f>
        <v>0.07532958975692958</v>
      </c>
      <c r="O21" s="435">
        <f>Unemployment_Poverty!O91</f>
        <v>0.07104764946728784</v>
      </c>
      <c r="P21" s="435">
        <f>Unemployment_Poverty!P91</f>
        <v>0.06699198362098185</v>
      </c>
      <c r="Q21" s="436">
        <f>Unemployment_Poverty!Q91</f>
        <v>0.06292403117205429</v>
      </c>
    </row>
    <row r="22" spans="1:17" s="266" customFormat="1" ht="15">
      <c r="A22" s="151" t="s">
        <v>208</v>
      </c>
      <c r="B22" s="416">
        <f>Unemployment_Poverty!B92</f>
        <v>0.07732697954924875</v>
      </c>
      <c r="C22" s="401">
        <f>Unemployment_Poverty!C92</f>
        <v>0.06902769356503373</v>
      </c>
      <c r="D22" s="401">
        <f>Unemployment_Poverty!D92</f>
        <v>0.060480990355645844</v>
      </c>
      <c r="E22" s="401">
        <f>Unemployment_Poverty!E92</f>
        <v>0.06476153216452928</v>
      </c>
      <c r="F22" s="401">
        <f>Unemployment_Poverty!F92</f>
        <v>0.06120040096360266</v>
      </c>
      <c r="G22" s="401">
        <f>Unemployment_Poverty!G92</f>
        <v>0.05776019155767051</v>
      </c>
      <c r="H22" s="402">
        <f>Unemployment_Poverty!H92</f>
        <v>0.055421660189324554</v>
      </c>
      <c r="I22" s="435">
        <f>Unemployment_Poverty!I92</f>
        <v>0.04790415810785947</v>
      </c>
      <c r="J22" s="435">
        <f>Unemployment_Poverty!J92</f>
        <v>0.04505250167606897</v>
      </c>
      <c r="K22" s="435">
        <f>Unemployment_Poverty!K92</f>
        <v>0.04236107254083397</v>
      </c>
      <c r="L22" s="435">
        <f>Unemployment_Poverty!L92</f>
        <v>0.0399370873503087</v>
      </c>
      <c r="M22" s="435">
        <f>Unemployment_Poverty!M92</f>
        <v>0.037618387988567176</v>
      </c>
      <c r="N22" s="435">
        <f>Unemployment_Poverty!N92</f>
        <v>0.03550797059673722</v>
      </c>
      <c r="O22" s="435">
        <f>Unemployment_Poverty!O92</f>
        <v>0.03346942438933612</v>
      </c>
      <c r="P22" s="435">
        <f>Unemployment_Poverty!P92</f>
        <v>0.03160088547855264</v>
      </c>
      <c r="Q22" s="436">
        <f>Unemployment_Poverty!Q92</f>
        <v>0.02978364229269039</v>
      </c>
    </row>
    <row r="23" spans="1:17" s="266" customFormat="1" ht="15">
      <c r="A23" s="151" t="s">
        <v>210</v>
      </c>
      <c r="B23" s="416">
        <f>Unemployment_Poverty!B93</f>
        <v>0.16849298452083147</v>
      </c>
      <c r="C23" s="401">
        <f>Unemployment_Poverty!C93</f>
        <v>0.16562106573880245</v>
      </c>
      <c r="D23" s="401">
        <f>Unemployment_Poverty!D93</f>
        <v>0.15581516345045462</v>
      </c>
      <c r="E23" s="401">
        <f>Unemployment_Poverty!E93</f>
        <v>0.16442951090597357</v>
      </c>
      <c r="F23" s="401">
        <f>Unemployment_Poverty!F93</f>
        <v>0.13683207866632258</v>
      </c>
      <c r="G23" s="401">
        <f>Unemployment_Poverty!G93</f>
        <v>0.126711089409505</v>
      </c>
      <c r="H23" s="402">
        <f>Unemployment_Poverty!H93</f>
        <v>0.12435595059214898</v>
      </c>
      <c r="I23" s="435">
        <f>Unemployment_Poverty!I93</f>
        <v>0.11783920505020293</v>
      </c>
      <c r="J23" s="435">
        <f>Unemployment_Poverty!J93</f>
        <v>0.11160243163116504</v>
      </c>
      <c r="K23" s="435">
        <f>Unemployment_Poverty!K93</f>
        <v>0.10674888659243115</v>
      </c>
      <c r="L23" s="435">
        <f>Unemployment_Poverty!L93</f>
        <v>0.10126958850430548</v>
      </c>
      <c r="M23" s="435">
        <f>Unemployment_Poverty!M93</f>
        <v>0.09702079906852167</v>
      </c>
      <c r="N23" s="435">
        <f>Unemployment_Poverty!N93</f>
        <v>0.09224932859842572</v>
      </c>
      <c r="O23" s="435">
        <f>Unemployment_Poverty!O93</f>
        <v>0.08848356450470772</v>
      </c>
      <c r="P23" s="435">
        <f>Unemployment_Poverty!P93</f>
        <v>0.08426117707734922</v>
      </c>
      <c r="Q23" s="436">
        <f>Unemployment_Poverty!Q93</f>
        <v>0.08087222774991758</v>
      </c>
    </row>
    <row r="24" spans="1:17" s="275" customFormat="1" ht="15">
      <c r="A24" s="152" t="s">
        <v>150</v>
      </c>
      <c r="B24" s="417">
        <f>Unemployment_Poverty!F58/100</f>
        <v>0.10355</v>
      </c>
      <c r="C24" s="418">
        <f>Unemployment_Poverty!G58/100</f>
        <v>0.0955</v>
      </c>
      <c r="D24" s="418">
        <f>Unemployment_Poverty!H58/100</f>
        <v>0.0848</v>
      </c>
      <c r="E24" s="418">
        <f>Unemployment_Poverty!I58/100</f>
        <v>0.0895</v>
      </c>
      <c r="F24" s="418">
        <f>Unemployment_Poverty!J58/100</f>
        <v>0.0812</v>
      </c>
      <c r="G24" s="418">
        <f>Unemployment_Poverty!K58/100</f>
        <v>0.0775</v>
      </c>
      <c r="H24" s="419">
        <f>Unemployment_Poverty!L58/100</f>
        <v>0.0762406174225093</v>
      </c>
      <c r="I24" s="443">
        <f>Unemployment_Poverty!B81/100</f>
        <v>0.06753484288240853</v>
      </c>
      <c r="J24" s="443">
        <f>Unemployment_Poverty!C81/100</f>
        <v>0.06398254751585698</v>
      </c>
      <c r="K24" s="443">
        <f>Unemployment_Poverty!D81/100</f>
        <v>0.060693635711674826</v>
      </c>
      <c r="L24" s="443">
        <f>Unemployment_Poverty!E81/100</f>
        <v>0.05763173207508391</v>
      </c>
      <c r="M24" s="443">
        <f>Unemployment_Poverty!F81/100</f>
        <v>0.0547675125069985</v>
      </c>
      <c r="N24" s="443">
        <f>Unemployment_Poverty!G81/100</f>
        <v>0.05207699179078512</v>
      </c>
      <c r="O24" s="443">
        <f>Unemployment_Poverty!H81/100</f>
        <v>0.049540301384568206</v>
      </c>
      <c r="P24" s="443">
        <f>Unemployment_Poverty!I81/100</f>
        <v>0.047140798104593366</v>
      </c>
      <c r="Q24" s="444">
        <f>Unemployment_Poverty!J81/100</f>
        <v>0.04486440169967388</v>
      </c>
    </row>
    <row r="25" spans="1:17" s="266" customFormat="1" ht="15">
      <c r="A25" s="156"/>
      <c r="B25" s="85"/>
      <c r="C25" s="149"/>
      <c r="D25" s="85"/>
      <c r="E25" s="85"/>
      <c r="F25" s="85"/>
      <c r="G25" s="85"/>
      <c r="H25" s="87"/>
      <c r="I25" s="87"/>
      <c r="J25" s="87"/>
      <c r="K25" s="87"/>
      <c r="L25" s="87"/>
      <c r="M25" s="88"/>
      <c r="N25" s="88"/>
      <c r="O25" s="88"/>
      <c r="P25" s="88"/>
      <c r="Q25" s="89"/>
    </row>
    <row r="26" spans="1:18" s="274" customFormat="1" ht="15">
      <c r="A26" s="79" t="s">
        <v>110</v>
      </c>
      <c r="B26" s="420"/>
      <c r="C26" s="421">
        <f aca="true" t="shared" si="15" ref="C26:H26">C27/B27-1</f>
        <v>0.05093312597200628</v>
      </c>
      <c r="D26" s="421">
        <f t="shared" si="15"/>
        <v>0.050437785176963956</v>
      </c>
      <c r="E26" s="421">
        <f t="shared" si="15"/>
        <v>0.02484151209204044</v>
      </c>
      <c r="F26" s="421">
        <f t="shared" si="15"/>
        <v>-0.0233000366568914</v>
      </c>
      <c r="G26" s="421">
        <f t="shared" si="15"/>
        <v>0.07811217189369235</v>
      </c>
      <c r="H26" s="421">
        <f t="shared" si="15"/>
        <v>0.0005067326470720168</v>
      </c>
      <c r="I26" s="445">
        <v>0.05</v>
      </c>
      <c r="J26" s="446">
        <v>0.053</v>
      </c>
      <c r="K26" s="446">
        <v>0.053</v>
      </c>
      <c r="L26" s="446">
        <v>0.053</v>
      </c>
      <c r="M26" s="446">
        <v>0.053</v>
      </c>
      <c r="N26" s="446">
        <v>0.053</v>
      </c>
      <c r="O26" s="446">
        <v>0.053</v>
      </c>
      <c r="P26" s="446">
        <v>0.053</v>
      </c>
      <c r="Q26" s="447">
        <v>0.053</v>
      </c>
      <c r="R26" s="274" t="s">
        <v>251</v>
      </c>
    </row>
    <row r="27" spans="1:18" ht="15">
      <c r="A27" s="82" t="s">
        <v>109</v>
      </c>
      <c r="B27" s="403">
        <v>3858</v>
      </c>
      <c r="C27" s="404">
        <v>4054.5</v>
      </c>
      <c r="D27" s="404">
        <v>4259</v>
      </c>
      <c r="E27" s="404">
        <v>4364.8</v>
      </c>
      <c r="F27" s="404">
        <v>4263.1</v>
      </c>
      <c r="G27" s="404">
        <v>4596.1</v>
      </c>
      <c r="H27" s="404">
        <v>4598.428993919208</v>
      </c>
      <c r="I27" s="448">
        <f>H27*(1+I26)</f>
        <v>4828.350443615168</v>
      </c>
      <c r="J27" s="437">
        <f aca="true" t="shared" si="16" ref="J27:Q27">I27*(1+J26)</f>
        <v>5084.253017126772</v>
      </c>
      <c r="K27" s="437">
        <f t="shared" si="16"/>
        <v>5353.718427034491</v>
      </c>
      <c r="L27" s="437">
        <f t="shared" si="16"/>
        <v>5637.465503667318</v>
      </c>
      <c r="M27" s="437">
        <f t="shared" si="16"/>
        <v>5936.251175361686</v>
      </c>
      <c r="N27" s="437">
        <f t="shared" si="16"/>
        <v>6250.872487655855</v>
      </c>
      <c r="O27" s="437">
        <f t="shared" si="16"/>
        <v>6582.168729501615</v>
      </c>
      <c r="P27" s="437">
        <f t="shared" si="16"/>
        <v>6931.023672165201</v>
      </c>
      <c r="Q27" s="438">
        <f t="shared" si="16"/>
        <v>7298.367926789956</v>
      </c>
      <c r="R27" s="77" t="s">
        <v>216</v>
      </c>
    </row>
    <row r="28" spans="1:18" s="274" customFormat="1" ht="15">
      <c r="A28" s="80" t="s">
        <v>113</v>
      </c>
      <c r="B28" s="422">
        <v>7092.89</v>
      </c>
      <c r="C28" s="423">
        <v>7844.94</v>
      </c>
      <c r="D28" s="423">
        <v>8525.19</v>
      </c>
      <c r="E28" s="423">
        <v>9080.47</v>
      </c>
      <c r="F28" s="423">
        <v>9041.55</v>
      </c>
      <c r="G28" s="423">
        <v>10104.82</v>
      </c>
      <c r="H28" s="423">
        <v>10539.45</v>
      </c>
      <c r="I28" s="449">
        <v>11215.93</v>
      </c>
      <c r="J28" s="450">
        <v>12092.84</v>
      </c>
      <c r="K28" s="450">
        <v>13092.51</v>
      </c>
      <c r="L28" s="450">
        <v>14192.57</v>
      </c>
      <c r="M28" s="450">
        <v>15394.93</v>
      </c>
      <c r="N28" s="450">
        <v>16706.18</v>
      </c>
      <c r="O28" s="450">
        <v>18135.16</v>
      </c>
      <c r="P28" s="450">
        <v>19685.63</v>
      </c>
      <c r="Q28" s="451">
        <v>21379.18</v>
      </c>
      <c r="R28" s="274" t="s">
        <v>215</v>
      </c>
    </row>
    <row r="29" spans="1:17" s="274" customFormat="1" ht="15">
      <c r="A29" s="80" t="s">
        <v>99</v>
      </c>
      <c r="B29" s="424">
        <f aca="true" t="shared" si="17" ref="B29:Q29">B28/B27</f>
        <v>1.8384888543286677</v>
      </c>
      <c r="C29" s="425">
        <f t="shared" si="17"/>
        <v>1.9348723640399554</v>
      </c>
      <c r="D29" s="425">
        <f t="shared" si="17"/>
        <v>2.001688189715896</v>
      </c>
      <c r="E29" s="425">
        <f t="shared" si="17"/>
        <v>2.0803862719941346</v>
      </c>
      <c r="F29" s="425">
        <f t="shared" si="17"/>
        <v>2.1208862095658088</v>
      </c>
      <c r="G29" s="425">
        <f t="shared" si="17"/>
        <v>2.1985639999129694</v>
      </c>
      <c r="H29" s="425">
        <f t="shared" si="17"/>
        <v>2.291967542379578</v>
      </c>
      <c r="I29" s="452">
        <f t="shared" si="17"/>
        <v>2.3229320512208327</v>
      </c>
      <c r="J29" s="453">
        <f t="shared" si="17"/>
        <v>2.378489024693335</v>
      </c>
      <c r="K29" s="453">
        <f t="shared" si="17"/>
        <v>2.4454984285103967</v>
      </c>
      <c r="L29" s="453">
        <f t="shared" si="17"/>
        <v>2.517544451627662</v>
      </c>
      <c r="M29" s="453">
        <f t="shared" si="17"/>
        <v>2.593375776263714</v>
      </c>
      <c r="N29" s="453">
        <f t="shared" si="17"/>
        <v>2.6726157081257305</v>
      </c>
      <c r="O29" s="453">
        <f t="shared" si="17"/>
        <v>2.755195247231705</v>
      </c>
      <c r="P29" s="453">
        <f t="shared" si="17"/>
        <v>2.8402197036286205</v>
      </c>
      <c r="Q29" s="454">
        <f t="shared" si="17"/>
        <v>2.9293097051909265</v>
      </c>
    </row>
    <row r="30" spans="1:17" s="274" customFormat="1" ht="15">
      <c r="A30" s="83" t="s">
        <v>111</v>
      </c>
      <c r="B30" s="426"/>
      <c r="C30" s="418">
        <f aca="true" t="shared" si="18" ref="C30:Q30">C29/B29-1</f>
        <v>0.052425397893686165</v>
      </c>
      <c r="D30" s="418">
        <f t="shared" si="18"/>
        <v>0.034532420286592425</v>
      </c>
      <c r="E30" s="418">
        <f t="shared" si="18"/>
        <v>0.03931585482822286</v>
      </c>
      <c r="F30" s="418">
        <f t="shared" si="18"/>
        <v>0.019467508566499703</v>
      </c>
      <c r="G30" s="418">
        <f t="shared" si="18"/>
        <v>0.03662515697297253</v>
      </c>
      <c r="H30" s="418">
        <f t="shared" si="18"/>
        <v>0.04248388605940323</v>
      </c>
      <c r="I30" s="455">
        <f t="shared" si="18"/>
        <v>0.013510011930232935</v>
      </c>
      <c r="J30" s="456">
        <f t="shared" si="18"/>
        <v>0.02391674497896057</v>
      </c>
      <c r="K30" s="456">
        <f t="shared" si="18"/>
        <v>0.028173097761382992</v>
      </c>
      <c r="L30" s="456">
        <f t="shared" si="18"/>
        <v>0.02946067038004596</v>
      </c>
      <c r="M30" s="456">
        <f t="shared" si="18"/>
        <v>0.03012114625703033</v>
      </c>
      <c r="N30" s="456">
        <f t="shared" si="18"/>
        <v>0.03055474358450949</v>
      </c>
      <c r="O30" s="456">
        <f t="shared" si="18"/>
        <v>0.030898396224680713</v>
      </c>
      <c r="P30" s="456">
        <f t="shared" si="18"/>
        <v>0.030859684620298422</v>
      </c>
      <c r="Q30" s="457">
        <f t="shared" si="18"/>
        <v>0.03136729227266688</v>
      </c>
    </row>
    <row r="31" spans="1:18" s="274" customFormat="1" ht="15">
      <c r="A31" s="123"/>
      <c r="B31" s="97"/>
      <c r="C31" s="97"/>
      <c r="D31" s="97"/>
      <c r="E31" s="97"/>
      <c r="F31" s="97"/>
      <c r="G31" s="97"/>
      <c r="H31" s="124"/>
      <c r="I31" s="97"/>
      <c r="J31" s="157"/>
      <c r="K31" s="157"/>
      <c r="L31" s="157"/>
      <c r="M31" s="157"/>
      <c r="N31" s="157"/>
      <c r="O31" s="157"/>
      <c r="P31" s="157"/>
      <c r="Q31" s="158"/>
      <c r="R31" s="98"/>
    </row>
    <row r="32" spans="1:17" s="274" customFormat="1" ht="15">
      <c r="A32" s="159" t="s">
        <v>151</v>
      </c>
      <c r="B32" s="352">
        <v>7979.43</v>
      </c>
      <c r="C32" s="353">
        <v>8745.75</v>
      </c>
      <c r="D32" s="353">
        <v>8880.72</v>
      </c>
      <c r="E32" s="353">
        <v>9427.83</v>
      </c>
      <c r="F32" s="353">
        <v>9455.32</v>
      </c>
      <c r="G32" s="353">
        <v>10137.03</v>
      </c>
      <c r="H32" s="427">
        <v>10898.62</v>
      </c>
      <c r="I32" s="458">
        <v>12103.06</v>
      </c>
      <c r="J32" s="342">
        <v>14049.17</v>
      </c>
      <c r="K32" s="458">
        <v>14653.28</v>
      </c>
      <c r="L32" s="342">
        <v>15283.38</v>
      </c>
      <c r="M32" s="458">
        <v>15946.18</v>
      </c>
      <c r="N32" s="342">
        <v>16637.48</v>
      </c>
      <c r="O32" s="458">
        <v>17358.3</v>
      </c>
      <c r="P32" s="342">
        <v>18101.2</v>
      </c>
      <c r="Q32" s="459">
        <v>18884.2</v>
      </c>
    </row>
    <row r="33" spans="1:17" s="274" customFormat="1" ht="15">
      <c r="A33" s="160" t="s">
        <v>152</v>
      </c>
      <c r="B33" s="428">
        <v>3886.7</v>
      </c>
      <c r="C33" s="429">
        <v>4259.97</v>
      </c>
      <c r="D33" s="429">
        <v>4325.71</v>
      </c>
      <c r="E33" s="429">
        <v>4592.21</v>
      </c>
      <c r="F33" s="429">
        <v>4605.6</v>
      </c>
      <c r="G33" s="429">
        <v>4937.65</v>
      </c>
      <c r="H33" s="430">
        <v>5308.61</v>
      </c>
      <c r="I33" s="460">
        <v>5895.28</v>
      </c>
      <c r="J33" s="460">
        <v>6843.22</v>
      </c>
      <c r="K33" s="460">
        <v>7137.48</v>
      </c>
      <c r="L33" s="460">
        <v>7444.39</v>
      </c>
      <c r="M33" s="460">
        <v>7767.23</v>
      </c>
      <c r="N33" s="460">
        <v>8103.96</v>
      </c>
      <c r="O33" s="460">
        <v>8455.06</v>
      </c>
      <c r="P33" s="460">
        <v>8816.92</v>
      </c>
      <c r="Q33" s="461">
        <v>9198.31</v>
      </c>
    </row>
    <row r="34" spans="1:2" ht="15">
      <c r="A34" s="597"/>
      <c r="B34" s="597"/>
    </row>
    <row r="35" spans="1:17" ht="15">
      <c r="A35" s="77"/>
      <c r="B35" s="77"/>
      <c r="C35" s="77"/>
      <c r="D35" s="77"/>
      <c r="E35" s="77"/>
      <c r="F35" s="77"/>
      <c r="G35" s="77"/>
      <c r="H35" s="77"/>
      <c r="I35" s="77"/>
      <c r="J35" s="77"/>
      <c r="K35" s="77"/>
      <c r="L35" s="77"/>
      <c r="M35" s="77"/>
      <c r="N35" s="77"/>
      <c r="O35" s="77"/>
      <c r="P35" s="77"/>
      <c r="Q35" s="77"/>
    </row>
    <row r="36" spans="1:17" ht="15">
      <c r="A36" s="77"/>
      <c r="B36" s="77"/>
      <c r="C36" s="77"/>
      <c r="D36" s="77"/>
      <c r="E36" s="77"/>
      <c r="F36" s="77"/>
      <c r="G36" s="77"/>
      <c r="H36" s="77"/>
      <c r="I36" s="77"/>
      <c r="J36" s="77"/>
      <c r="K36" s="77"/>
      <c r="L36" s="77"/>
      <c r="M36" s="77"/>
      <c r="N36" s="77"/>
      <c r="O36" s="77"/>
      <c r="P36" s="77"/>
      <c r="Q36" s="77"/>
    </row>
    <row r="37" s="276" customFormat="1" ht="15"/>
    <row r="38" spans="1:17" ht="15">
      <c r="A38" s="77"/>
      <c r="B38" s="77"/>
      <c r="C38" s="77"/>
      <c r="D38" s="77"/>
      <c r="E38" s="77"/>
      <c r="F38" s="77"/>
      <c r="G38" s="77"/>
      <c r="H38" s="77"/>
      <c r="I38" s="77"/>
      <c r="J38" s="77"/>
      <c r="K38" s="77"/>
      <c r="L38" s="77"/>
      <c r="M38" s="77"/>
      <c r="N38" s="77"/>
      <c r="O38" s="77"/>
      <c r="P38" s="77"/>
      <c r="Q38" s="77"/>
    </row>
    <row r="39" spans="1:17" ht="15">
      <c r="A39" s="77"/>
      <c r="B39" s="77"/>
      <c r="C39" s="77"/>
      <c r="D39" s="77"/>
      <c r="E39" s="77"/>
      <c r="F39" s="77"/>
      <c r="G39" s="77"/>
      <c r="H39" s="77"/>
      <c r="I39" s="77"/>
      <c r="J39" s="77"/>
      <c r="K39" s="77"/>
      <c r="L39" s="77"/>
      <c r="M39" s="77"/>
      <c r="N39" s="77"/>
      <c r="O39" s="77"/>
      <c r="P39" s="77"/>
      <c r="Q39" s="77"/>
    </row>
    <row r="40" spans="1:17" ht="15">
      <c r="A40" s="77"/>
      <c r="B40" s="77"/>
      <c r="C40" s="77"/>
      <c r="D40" s="77"/>
      <c r="E40" s="77"/>
      <c r="F40" s="77"/>
      <c r="G40" s="77"/>
      <c r="H40" s="77"/>
      <c r="I40" s="77"/>
      <c r="J40" s="77"/>
      <c r="K40" s="77"/>
      <c r="L40" s="77"/>
      <c r="M40" s="77"/>
      <c r="N40" s="77"/>
      <c r="O40" s="77"/>
      <c r="P40" s="77"/>
      <c r="Q40" s="77"/>
    </row>
    <row r="41" spans="1:17" ht="15">
      <c r="A41" s="77"/>
      <c r="B41" s="77"/>
      <c r="C41" s="77"/>
      <c r="D41" s="77"/>
      <c r="E41" s="77"/>
      <c r="F41" s="77"/>
      <c r="G41" s="77"/>
      <c r="H41" s="77"/>
      <c r="I41" s="77"/>
      <c r="J41" s="77"/>
      <c r="K41" s="77"/>
      <c r="L41" s="77"/>
      <c r="M41" s="77"/>
      <c r="N41" s="77"/>
      <c r="O41" s="77"/>
      <c r="P41" s="77"/>
      <c r="Q41" s="77"/>
    </row>
    <row r="42" spans="1:17" ht="15">
      <c r="A42" s="77"/>
      <c r="B42" s="77"/>
      <c r="C42" s="77"/>
      <c r="D42" s="77"/>
      <c r="E42" s="77"/>
      <c r="F42" s="77"/>
      <c r="G42" s="77"/>
      <c r="H42" s="77"/>
      <c r="I42" s="77"/>
      <c r="J42" s="77"/>
      <c r="K42" s="77"/>
      <c r="L42" s="77"/>
      <c r="M42" s="77"/>
      <c r="N42" s="77"/>
      <c r="O42" s="77"/>
      <c r="P42" s="77"/>
      <c r="Q42" s="77"/>
    </row>
    <row r="43" spans="1:17" ht="15">
      <c r="A43" s="77"/>
      <c r="B43" s="77"/>
      <c r="C43" s="77"/>
      <c r="D43" s="77"/>
      <c r="E43" s="77"/>
      <c r="F43" s="77"/>
      <c r="G43" s="77"/>
      <c r="H43" s="77"/>
      <c r="I43" s="77"/>
      <c r="J43" s="77"/>
      <c r="K43" s="77"/>
      <c r="L43" s="77"/>
      <c r="M43" s="77"/>
      <c r="N43" s="77"/>
      <c r="O43" s="77"/>
      <c r="P43" s="77"/>
      <c r="Q43" s="77"/>
    </row>
    <row r="44" spans="1:17" ht="15">
      <c r="A44" s="77"/>
      <c r="B44" s="77"/>
      <c r="C44" s="77"/>
      <c r="D44" s="77"/>
      <c r="E44" s="77"/>
      <c r="F44" s="77"/>
      <c r="G44" s="77"/>
      <c r="H44" s="77"/>
      <c r="I44" s="77"/>
      <c r="J44" s="77"/>
      <c r="K44" s="77"/>
      <c r="L44" s="77"/>
      <c r="M44" s="77"/>
      <c r="N44" s="77"/>
      <c r="O44" s="77"/>
      <c r="P44" s="77"/>
      <c r="Q44" s="77"/>
    </row>
    <row r="45" spans="1:17" ht="15">
      <c r="A45" s="77"/>
      <c r="B45" s="77"/>
      <c r="C45" s="77"/>
      <c r="D45" s="77"/>
      <c r="E45" s="77"/>
      <c r="F45" s="77"/>
      <c r="G45" s="77"/>
      <c r="H45" s="77"/>
      <c r="I45" s="77"/>
      <c r="J45" s="77"/>
      <c r="K45" s="77"/>
      <c r="L45" s="77"/>
      <c r="M45" s="77"/>
      <c r="N45" s="77"/>
      <c r="O45" s="77"/>
      <c r="P45" s="77"/>
      <c r="Q45" s="77"/>
    </row>
    <row r="46" spans="1:17" ht="15">
      <c r="A46" s="77"/>
      <c r="B46" s="77"/>
      <c r="C46" s="77"/>
      <c r="D46" s="77"/>
      <c r="E46" s="77"/>
      <c r="F46" s="77"/>
      <c r="G46" s="77"/>
      <c r="H46" s="77"/>
      <c r="I46" s="77"/>
      <c r="J46" s="77"/>
      <c r="K46" s="77"/>
      <c r="L46" s="77"/>
      <c r="M46" s="77"/>
      <c r="N46" s="77"/>
      <c r="O46" s="77"/>
      <c r="P46" s="77"/>
      <c r="Q46" s="77"/>
    </row>
    <row r="47" spans="1:17" ht="15">
      <c r="A47" s="77"/>
      <c r="B47" s="77"/>
      <c r="C47" s="77"/>
      <c r="D47" s="77"/>
      <c r="E47" s="77"/>
      <c r="F47" s="77"/>
      <c r="G47" s="77"/>
      <c r="H47" s="77"/>
      <c r="I47" s="77"/>
      <c r="J47" s="77"/>
      <c r="K47" s="77"/>
      <c r="L47" s="77"/>
      <c r="M47" s="77"/>
      <c r="N47" s="77"/>
      <c r="O47" s="77"/>
      <c r="P47" s="77"/>
      <c r="Q47" s="77"/>
    </row>
    <row r="48" spans="1:17" ht="15">
      <c r="A48" s="77"/>
      <c r="B48" s="77"/>
      <c r="C48" s="77"/>
      <c r="D48" s="77"/>
      <c r="E48" s="77"/>
      <c r="F48" s="77"/>
      <c r="G48" s="77"/>
      <c r="H48" s="77"/>
      <c r="I48" s="77"/>
      <c r="J48" s="77"/>
      <c r="K48" s="77"/>
      <c r="L48" s="77"/>
      <c r="M48" s="77"/>
      <c r="N48" s="77"/>
      <c r="O48" s="77"/>
      <c r="P48" s="77"/>
      <c r="Q48" s="77"/>
    </row>
    <row r="49" spans="1:17" ht="15">
      <c r="A49" s="77"/>
      <c r="B49" s="77"/>
      <c r="C49" s="77"/>
      <c r="D49" s="77"/>
      <c r="E49" s="77"/>
      <c r="F49" s="77"/>
      <c r="G49" s="77"/>
      <c r="H49" s="77"/>
      <c r="I49" s="77"/>
      <c r="J49" s="77"/>
      <c r="K49" s="77"/>
      <c r="L49" s="77"/>
      <c r="M49" s="77"/>
      <c r="N49" s="77"/>
      <c r="O49" s="77"/>
      <c r="P49" s="77"/>
      <c r="Q49" s="77"/>
    </row>
    <row r="50" spans="1:17" ht="15">
      <c r="A50" s="77"/>
      <c r="B50" s="77"/>
      <c r="C50" s="77"/>
      <c r="D50" s="77"/>
      <c r="E50" s="77"/>
      <c r="F50" s="77"/>
      <c r="G50" s="77"/>
      <c r="H50" s="77"/>
      <c r="I50" s="77"/>
      <c r="J50" s="77"/>
      <c r="K50" s="77"/>
      <c r="L50" s="77"/>
      <c r="M50" s="77"/>
      <c r="N50" s="77"/>
      <c r="O50" s="77"/>
      <c r="P50" s="77"/>
      <c r="Q50" s="77"/>
    </row>
    <row r="51" spans="1:17" ht="15">
      <c r="A51" s="77"/>
      <c r="B51" s="77"/>
      <c r="C51" s="77"/>
      <c r="D51" s="77"/>
      <c r="E51" s="77"/>
      <c r="F51" s="77"/>
      <c r="G51" s="77"/>
      <c r="H51" s="77"/>
      <c r="I51" s="77"/>
      <c r="J51" s="77"/>
      <c r="K51" s="77"/>
      <c r="L51" s="77"/>
      <c r="M51" s="77"/>
      <c r="N51" s="77"/>
      <c r="O51" s="77"/>
      <c r="P51" s="77"/>
      <c r="Q51" s="77"/>
    </row>
    <row r="52" spans="1:17" ht="15">
      <c r="A52" s="77"/>
      <c r="B52" s="77"/>
      <c r="C52" s="77"/>
      <c r="D52" s="77"/>
      <c r="E52" s="77"/>
      <c r="F52" s="77"/>
      <c r="G52" s="77"/>
      <c r="H52" s="77"/>
      <c r="I52" s="77"/>
      <c r="J52" s="77"/>
      <c r="K52" s="77"/>
      <c r="L52" s="77"/>
      <c r="M52" s="77"/>
      <c r="N52" s="77"/>
      <c r="O52" s="77"/>
      <c r="P52" s="77"/>
      <c r="Q52" s="77"/>
    </row>
    <row r="53" spans="1:17" ht="15">
      <c r="A53" s="77"/>
      <c r="B53" s="77"/>
      <c r="C53" s="77"/>
      <c r="D53" s="77"/>
      <c r="E53" s="77"/>
      <c r="F53" s="77"/>
      <c r="G53" s="77"/>
      <c r="H53" s="77"/>
      <c r="I53" s="77"/>
      <c r="J53" s="77"/>
      <c r="K53" s="77"/>
      <c r="L53" s="77"/>
      <c r="M53" s="77"/>
      <c r="N53" s="77"/>
      <c r="O53" s="77"/>
      <c r="P53" s="77"/>
      <c r="Q53" s="77"/>
    </row>
    <row r="54" spans="1:17" ht="15">
      <c r="A54" s="77"/>
      <c r="B54" s="77"/>
      <c r="C54" s="77"/>
      <c r="D54" s="77"/>
      <c r="E54" s="77"/>
      <c r="F54" s="77"/>
      <c r="G54" s="77"/>
      <c r="H54" s="77"/>
      <c r="I54" s="77"/>
      <c r="J54" s="77"/>
      <c r="K54" s="77"/>
      <c r="L54" s="77"/>
      <c r="M54" s="77"/>
      <c r="N54" s="77"/>
      <c r="O54" s="77"/>
      <c r="P54" s="77"/>
      <c r="Q54" s="77"/>
    </row>
    <row r="55" spans="1:17" ht="15">
      <c r="A55" s="77"/>
      <c r="B55" s="77"/>
      <c r="C55" s="77"/>
      <c r="D55" s="77"/>
      <c r="E55" s="77"/>
      <c r="F55" s="77"/>
      <c r="G55" s="77"/>
      <c r="H55" s="77"/>
      <c r="I55" s="77"/>
      <c r="J55" s="77"/>
      <c r="K55" s="77"/>
      <c r="L55" s="77"/>
      <c r="M55" s="77"/>
      <c r="N55" s="77"/>
      <c r="O55" s="77"/>
      <c r="P55" s="77"/>
      <c r="Q55" s="77"/>
    </row>
  </sheetData>
  <mergeCells count="3">
    <mergeCell ref="A34:B34"/>
    <mergeCell ref="P5:Q5"/>
    <mergeCell ref="P4:Q4"/>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theme="3" tint="-0.24997000396251678"/>
  </sheetPr>
  <dimension ref="A1:AA39"/>
  <sheetViews>
    <sheetView workbookViewId="0" topLeftCell="A1">
      <selection activeCell="A2" sqref="A2"/>
    </sheetView>
  </sheetViews>
  <sheetFormatPr defaultColWidth="8.8515625" defaultRowHeight="15"/>
  <cols>
    <col min="1" max="1" width="38.421875" style="271" customWidth="1"/>
    <col min="2" max="17" width="7.57421875" style="271" customWidth="1"/>
    <col min="18" max="18" width="89.57421875" style="271" bestFit="1" customWidth="1"/>
    <col min="19" max="31" width="8.8515625" style="271" customWidth="1"/>
    <col min="32" max="16384" width="8.8515625" style="271" customWidth="1"/>
  </cols>
  <sheetData>
    <row r="1" spans="1:19" ht="18.75">
      <c r="A1" s="62" t="s">
        <v>16</v>
      </c>
      <c r="B1" s="34"/>
      <c r="C1" s="34"/>
      <c r="D1" s="34"/>
      <c r="E1" s="34"/>
      <c r="F1" s="34"/>
      <c r="G1" s="34"/>
      <c r="H1" s="34"/>
      <c r="I1" s="34"/>
      <c r="J1" s="34"/>
      <c r="K1" s="34"/>
      <c r="L1" s="34"/>
      <c r="M1" s="34"/>
      <c r="N1" s="34"/>
      <c r="O1" s="34"/>
      <c r="P1" s="34"/>
      <c r="Q1" s="34"/>
      <c r="R1" s="85"/>
      <c r="S1" s="85"/>
    </row>
    <row r="2" spans="1:19" ht="15">
      <c r="A2" s="36"/>
      <c r="B2" s="34"/>
      <c r="C2" s="34"/>
      <c r="D2" s="34"/>
      <c r="E2" s="34"/>
      <c r="F2" s="34"/>
      <c r="G2" s="34"/>
      <c r="H2" s="34"/>
      <c r="I2" s="34"/>
      <c r="J2" s="34"/>
      <c r="K2" s="34"/>
      <c r="L2" s="34"/>
      <c r="M2" s="34"/>
      <c r="N2" s="34"/>
      <c r="O2" s="34"/>
      <c r="P2" s="34"/>
      <c r="Q2" s="34"/>
      <c r="R2" s="85"/>
      <c r="S2" s="85"/>
    </row>
    <row r="3" spans="1:19" ht="15">
      <c r="A3" s="34"/>
      <c r="B3" s="34"/>
      <c r="C3" s="34"/>
      <c r="D3" s="35"/>
      <c r="E3" s="35"/>
      <c r="F3" s="35"/>
      <c r="G3" s="35"/>
      <c r="H3" s="35"/>
      <c r="I3" s="35"/>
      <c r="J3" s="35"/>
      <c r="K3" s="35"/>
      <c r="L3" s="35"/>
      <c r="M3" s="35"/>
      <c r="N3" s="35"/>
      <c r="O3" s="48" t="s">
        <v>32</v>
      </c>
      <c r="P3" s="49"/>
      <c r="Q3" s="51" t="str">
        <f>README!I6</f>
        <v>1.1</v>
      </c>
      <c r="R3" s="85"/>
      <c r="S3" s="85"/>
    </row>
    <row r="4" spans="1:19" ht="15">
      <c r="A4" s="34"/>
      <c r="B4" s="34"/>
      <c r="C4" s="34"/>
      <c r="D4" s="35"/>
      <c r="E4" s="35"/>
      <c r="F4" s="35"/>
      <c r="G4" s="35"/>
      <c r="H4" s="35"/>
      <c r="I4" s="35"/>
      <c r="J4" s="35"/>
      <c r="K4" s="35"/>
      <c r="L4" s="35"/>
      <c r="M4" s="35"/>
      <c r="N4" s="35"/>
      <c r="O4" s="48" t="s">
        <v>28</v>
      </c>
      <c r="P4" s="49"/>
      <c r="Q4" s="51" t="str">
        <f>README!I7</f>
        <v>Coresia</v>
      </c>
      <c r="R4" s="85"/>
      <c r="S4" s="85"/>
    </row>
    <row r="5" spans="1:19" ht="15">
      <c r="A5" s="34"/>
      <c r="B5" s="34"/>
      <c r="C5" s="34"/>
      <c r="D5" s="35"/>
      <c r="E5" s="35"/>
      <c r="F5" s="35"/>
      <c r="G5" s="35"/>
      <c r="H5" s="35"/>
      <c r="I5" s="35"/>
      <c r="J5" s="35"/>
      <c r="K5" s="35"/>
      <c r="L5" s="35"/>
      <c r="M5" s="35"/>
      <c r="N5" s="35"/>
      <c r="O5" s="48" t="s">
        <v>33</v>
      </c>
      <c r="P5" s="595">
        <f>README!H8</f>
        <v>41565</v>
      </c>
      <c r="Q5" s="595"/>
      <c r="R5" s="85"/>
      <c r="S5" s="85"/>
    </row>
    <row r="6" spans="1:19" ht="15">
      <c r="A6" s="34"/>
      <c r="B6" s="34"/>
      <c r="C6" s="34"/>
      <c r="D6" s="35"/>
      <c r="E6" s="35"/>
      <c r="F6" s="35"/>
      <c r="G6" s="35"/>
      <c r="H6" s="35"/>
      <c r="I6" s="35"/>
      <c r="J6" s="35"/>
      <c r="K6" s="35"/>
      <c r="L6" s="35"/>
      <c r="M6" s="35"/>
      <c r="N6" s="35"/>
      <c r="O6" s="48" t="s">
        <v>25</v>
      </c>
      <c r="P6" s="595">
        <f>README!H9</f>
        <v>41605</v>
      </c>
      <c r="Q6" s="595"/>
      <c r="R6" s="85"/>
      <c r="S6" s="85"/>
    </row>
    <row r="7" spans="1:19" ht="15">
      <c r="A7" s="34"/>
      <c r="B7" s="34"/>
      <c r="C7" s="34"/>
      <c r="D7" s="35"/>
      <c r="E7" s="35"/>
      <c r="F7" s="35"/>
      <c r="G7" s="35"/>
      <c r="H7" s="35"/>
      <c r="I7" s="35"/>
      <c r="J7" s="35"/>
      <c r="K7" s="35"/>
      <c r="L7" s="35"/>
      <c r="M7" s="35"/>
      <c r="N7" s="35"/>
      <c r="O7" s="48" t="s">
        <v>26</v>
      </c>
      <c r="P7" s="49"/>
      <c r="Q7" s="51" t="str">
        <f>README!I10</f>
        <v>ABND guide</v>
      </c>
      <c r="R7" s="85"/>
      <c r="S7" s="85"/>
    </row>
    <row r="8" spans="1:19" ht="15">
      <c r="A8" s="34"/>
      <c r="B8" s="34"/>
      <c r="C8" s="34"/>
      <c r="D8" s="34"/>
      <c r="E8" s="34"/>
      <c r="F8" s="34"/>
      <c r="G8" s="34"/>
      <c r="H8" s="34"/>
      <c r="I8" s="34"/>
      <c r="J8" s="34"/>
      <c r="K8" s="34"/>
      <c r="L8" s="34"/>
      <c r="M8" s="34"/>
      <c r="N8" s="34"/>
      <c r="O8" s="34"/>
      <c r="P8" s="34"/>
      <c r="Q8" s="34"/>
      <c r="R8" s="85"/>
      <c r="S8" s="85"/>
    </row>
    <row r="9" spans="1:19" ht="15">
      <c r="A9" s="313" t="s">
        <v>220</v>
      </c>
      <c r="B9" s="53">
        <v>2005</v>
      </c>
      <c r="C9" s="300">
        <v>2006</v>
      </c>
      <c r="D9" s="300">
        <v>2007</v>
      </c>
      <c r="E9" s="300">
        <v>2008</v>
      </c>
      <c r="F9" s="300">
        <v>2009</v>
      </c>
      <c r="G9" s="300">
        <v>2010</v>
      </c>
      <c r="H9" s="303">
        <v>2011</v>
      </c>
      <c r="I9" s="300">
        <v>2012</v>
      </c>
      <c r="J9" s="300">
        <v>2013</v>
      </c>
      <c r="K9" s="300">
        <v>2014</v>
      </c>
      <c r="L9" s="300">
        <v>2015</v>
      </c>
      <c r="M9" s="300">
        <v>2016</v>
      </c>
      <c r="N9" s="300">
        <v>2017</v>
      </c>
      <c r="O9" s="300">
        <v>2018</v>
      </c>
      <c r="P9" s="300">
        <v>2019</v>
      </c>
      <c r="Q9" s="300">
        <v>2020</v>
      </c>
      <c r="R9" s="59" t="s">
        <v>304</v>
      </c>
      <c r="S9" s="85"/>
    </row>
    <row r="10" spans="1:26" s="273" customFormat="1" ht="15">
      <c r="A10" s="169" t="s">
        <v>221</v>
      </c>
      <c r="B10" s="471">
        <v>1387.832</v>
      </c>
      <c r="C10" s="472">
        <v>1534.841</v>
      </c>
      <c r="D10" s="472">
        <v>1578.71</v>
      </c>
      <c r="E10" s="472">
        <v>1600.795</v>
      </c>
      <c r="F10" s="472">
        <v>1600.908</v>
      </c>
      <c r="G10" s="472">
        <v>1694.319</v>
      </c>
      <c r="H10" s="473">
        <v>1868.366</v>
      </c>
      <c r="I10" s="462">
        <v>2034.257</v>
      </c>
      <c r="J10" s="462">
        <v>2441.517</v>
      </c>
      <c r="K10" s="462">
        <v>2652.448</v>
      </c>
      <c r="L10" s="462">
        <v>2891.711</v>
      </c>
      <c r="M10" s="462">
        <v>3154.668</v>
      </c>
      <c r="N10" s="463">
        <v>3435.496</v>
      </c>
      <c r="O10" s="463">
        <v>3750.851</v>
      </c>
      <c r="P10" s="463">
        <v>4086.01</v>
      </c>
      <c r="Q10" s="464">
        <v>4463.197</v>
      </c>
      <c r="R10" s="221" t="s">
        <v>252</v>
      </c>
      <c r="S10" s="85"/>
      <c r="T10" s="272"/>
      <c r="U10" s="272"/>
      <c r="V10" s="272"/>
      <c r="W10" s="272"/>
      <c r="X10" s="272"/>
      <c r="Y10" s="272"/>
      <c r="Z10" s="272"/>
    </row>
    <row r="11" spans="1:19" ht="15">
      <c r="A11" s="166" t="s">
        <v>222</v>
      </c>
      <c r="B11" s="474">
        <v>1443.226</v>
      </c>
      <c r="C11" s="475">
        <v>1623.812</v>
      </c>
      <c r="D11" s="475">
        <v>1842.457</v>
      </c>
      <c r="E11" s="475">
        <v>1929.256</v>
      </c>
      <c r="F11" s="475">
        <v>2232.658</v>
      </c>
      <c r="G11" s="475">
        <v>2139.767</v>
      </c>
      <c r="H11" s="476">
        <v>2577.42</v>
      </c>
      <c r="I11" s="465">
        <v>2379.999</v>
      </c>
      <c r="J11" s="465">
        <v>2400</v>
      </c>
      <c r="K11" s="465">
        <v>2583.572</v>
      </c>
      <c r="L11" s="465">
        <v>2781.754</v>
      </c>
      <c r="M11" s="465">
        <v>2995.766</v>
      </c>
      <c r="N11" s="465">
        <v>3226.932</v>
      </c>
      <c r="O11" s="465">
        <v>3476.696</v>
      </c>
      <c r="P11" s="465">
        <v>3746.626</v>
      </c>
      <c r="Q11" s="466">
        <v>4038.433</v>
      </c>
      <c r="R11" s="221" t="s">
        <v>252</v>
      </c>
      <c r="S11" s="85"/>
    </row>
    <row r="12" spans="1:19" ht="15">
      <c r="A12" s="84"/>
      <c r="B12" s="85"/>
      <c r="C12" s="85"/>
      <c r="D12" s="85"/>
      <c r="E12" s="85"/>
      <c r="F12" s="85"/>
      <c r="G12" s="85"/>
      <c r="H12" s="85"/>
      <c r="I12" s="85"/>
      <c r="J12" s="85"/>
      <c r="K12" s="85"/>
      <c r="L12" s="85"/>
      <c r="M12" s="85"/>
      <c r="N12" s="85"/>
      <c r="O12" s="85"/>
      <c r="P12" s="85"/>
      <c r="Q12" s="168"/>
      <c r="R12" s="85"/>
      <c r="S12" s="85"/>
    </row>
    <row r="13" spans="1:19" ht="15">
      <c r="A13" s="165" t="s">
        <v>223</v>
      </c>
      <c r="B13" s="477">
        <f aca="true" t="shared" si="0" ref="B13:Q13">B10-B11</f>
        <v>-55.394000000000005</v>
      </c>
      <c r="C13" s="478">
        <f t="shared" si="0"/>
        <v>-88.971</v>
      </c>
      <c r="D13" s="478">
        <f t="shared" si="0"/>
        <v>-263.74700000000007</v>
      </c>
      <c r="E13" s="478">
        <f t="shared" si="0"/>
        <v>-328.461</v>
      </c>
      <c r="F13" s="478">
        <f t="shared" si="0"/>
        <v>-631.75</v>
      </c>
      <c r="G13" s="478">
        <f t="shared" si="0"/>
        <v>-445.44799999999987</v>
      </c>
      <c r="H13" s="479">
        <f t="shared" si="0"/>
        <v>-709.0540000000001</v>
      </c>
      <c r="I13" s="467">
        <f t="shared" si="0"/>
        <v>-345.74199999999973</v>
      </c>
      <c r="J13" s="467">
        <f t="shared" si="0"/>
        <v>41.516999999999825</v>
      </c>
      <c r="K13" s="467">
        <f t="shared" si="0"/>
        <v>68.87599999999975</v>
      </c>
      <c r="L13" s="467">
        <f t="shared" si="0"/>
        <v>109.95699999999988</v>
      </c>
      <c r="M13" s="467">
        <f t="shared" si="0"/>
        <v>158.90200000000004</v>
      </c>
      <c r="N13" s="467">
        <f t="shared" si="0"/>
        <v>208.5640000000003</v>
      </c>
      <c r="O13" s="467">
        <f t="shared" si="0"/>
        <v>274.1550000000002</v>
      </c>
      <c r="P13" s="467">
        <f t="shared" si="0"/>
        <v>339.384</v>
      </c>
      <c r="Q13" s="468">
        <f t="shared" si="0"/>
        <v>424.7640000000001</v>
      </c>
      <c r="R13" s="85"/>
      <c r="S13" s="85"/>
    </row>
    <row r="14" spans="1:19" ht="15">
      <c r="A14" s="166" t="s">
        <v>332</v>
      </c>
      <c r="B14" s="480">
        <f>B13/(100*ECO!B28)%</f>
        <v>-0.007809792623317153</v>
      </c>
      <c r="C14" s="481">
        <f>C13/(100*ECO!C28)%</f>
        <v>-0.011341195726162342</v>
      </c>
      <c r="D14" s="481">
        <f>D13/(100*ECO!D28)%</f>
        <v>-0.03093737500278587</v>
      </c>
      <c r="E14" s="481">
        <f>E13/(100*ECO!E28)%</f>
        <v>-0.036172246590760175</v>
      </c>
      <c r="F14" s="481">
        <f>F13/(100*ECO!F28)%</f>
        <v>-0.06987186931444277</v>
      </c>
      <c r="G14" s="481">
        <f>G13/(100*ECO!G28)%</f>
        <v>-0.04408272487783057</v>
      </c>
      <c r="H14" s="482">
        <f>H13/(100*ECO!H28)%</f>
        <v>-0.06727618613874538</v>
      </c>
      <c r="I14" s="469">
        <f>I13/(100*ECO!I28)%</f>
        <v>-0.030825976980954743</v>
      </c>
      <c r="J14" s="469">
        <f>J13/(100*ECO!J28)%</f>
        <v>0.003433188564472847</v>
      </c>
      <c r="K14" s="469">
        <f>K13/(100*ECO!K28)%</f>
        <v>0.0052607177691672375</v>
      </c>
      <c r="L14" s="469">
        <f>L13/(100*ECO!L28)%</f>
        <v>0.007747504504117287</v>
      </c>
      <c r="M14" s="469">
        <f>M13/(100*ECO!M28)%</f>
        <v>0.010321709809658117</v>
      </c>
      <c r="N14" s="469">
        <f>N13/(100*ECO!N28)%</f>
        <v>0.012484242358217157</v>
      </c>
      <c r="O14" s="469">
        <f>O13/(100*ECO!O28)%</f>
        <v>0.015117319064182516</v>
      </c>
      <c r="P14" s="469">
        <f>P13/(100*ECO!P28)%</f>
        <v>0.01724018992534148</v>
      </c>
      <c r="Q14" s="470">
        <f>Q13/(100*ECO!Q28)%</f>
        <v>0.019868114679795955</v>
      </c>
      <c r="R14" s="85"/>
      <c r="S14" s="85"/>
    </row>
    <row r="15" spans="1:19" ht="15">
      <c r="A15" s="85"/>
      <c r="B15" s="85"/>
      <c r="C15" s="85"/>
      <c r="D15" s="85"/>
      <c r="E15" s="85"/>
      <c r="F15" s="85"/>
      <c r="G15" s="85"/>
      <c r="H15" s="85"/>
      <c r="I15" s="85"/>
      <c r="J15" s="85"/>
      <c r="K15" s="85"/>
      <c r="L15" s="85"/>
      <c r="M15" s="85"/>
      <c r="N15" s="85"/>
      <c r="O15" s="85"/>
      <c r="P15" s="85"/>
      <c r="Q15" s="85"/>
      <c r="R15" s="85"/>
      <c r="S15" s="85"/>
    </row>
    <row r="16" spans="1:19" ht="15">
      <c r="A16" s="85"/>
      <c r="B16" s="85"/>
      <c r="C16" s="85"/>
      <c r="D16" s="85"/>
      <c r="E16" s="85"/>
      <c r="F16" s="85"/>
      <c r="G16" s="85"/>
      <c r="H16" s="85"/>
      <c r="I16" s="85"/>
      <c r="J16" s="85"/>
      <c r="K16" s="85"/>
      <c r="L16" s="85"/>
      <c r="M16" s="85"/>
      <c r="N16" s="85"/>
      <c r="O16" s="85"/>
      <c r="P16" s="85"/>
      <c r="Q16" s="85"/>
      <c r="R16" s="85"/>
      <c r="S16" s="85"/>
    </row>
    <row r="17" spans="1:19" ht="15">
      <c r="A17" s="85"/>
      <c r="B17" s="85"/>
      <c r="C17" s="85"/>
      <c r="D17" s="85"/>
      <c r="E17" s="85"/>
      <c r="F17" s="85"/>
      <c r="G17" s="85"/>
      <c r="H17" s="291"/>
      <c r="I17" s="85"/>
      <c r="J17" s="85"/>
      <c r="K17" s="85"/>
      <c r="L17" s="85"/>
      <c r="M17" s="85"/>
      <c r="N17" s="85"/>
      <c r="O17" s="85"/>
      <c r="P17" s="85"/>
      <c r="Q17" s="85"/>
      <c r="R17" s="85"/>
      <c r="S17" s="85"/>
    </row>
    <row r="18" spans="1:19" ht="15">
      <c r="A18" s="85"/>
      <c r="B18" s="85"/>
      <c r="C18" s="85"/>
      <c r="D18" s="85"/>
      <c r="E18" s="85"/>
      <c r="F18" s="85"/>
      <c r="G18" s="85"/>
      <c r="H18" s="85"/>
      <c r="I18" s="85"/>
      <c r="J18" s="85"/>
      <c r="K18" s="85"/>
      <c r="L18" s="85"/>
      <c r="M18" s="85"/>
      <c r="N18" s="85"/>
      <c r="O18" s="85"/>
      <c r="P18" s="85"/>
      <c r="Q18" s="85"/>
      <c r="R18" s="85"/>
      <c r="S18" s="85"/>
    </row>
    <row r="19" spans="1:19" ht="15">
      <c r="A19" s="85"/>
      <c r="B19" s="85"/>
      <c r="C19" s="85"/>
      <c r="D19" s="85"/>
      <c r="E19" s="85"/>
      <c r="F19" s="85"/>
      <c r="G19" s="85"/>
      <c r="H19" s="85"/>
      <c r="I19" s="85"/>
      <c r="J19" s="85"/>
      <c r="K19" s="85"/>
      <c r="L19" s="85"/>
      <c r="M19" s="85"/>
      <c r="N19" s="85"/>
      <c r="O19" s="85"/>
      <c r="P19" s="85"/>
      <c r="Q19" s="85"/>
      <c r="R19" s="85"/>
      <c r="S19" s="85"/>
    </row>
    <row r="20" spans="1:19" ht="15">
      <c r="A20" s="85"/>
      <c r="B20" s="85"/>
      <c r="C20" s="85"/>
      <c r="D20" s="85"/>
      <c r="E20" s="85"/>
      <c r="F20" s="85"/>
      <c r="G20" s="85"/>
      <c r="H20" s="85"/>
      <c r="I20" s="85"/>
      <c r="J20" s="85"/>
      <c r="K20" s="85"/>
      <c r="L20" s="85"/>
      <c r="M20" s="85"/>
      <c r="N20" s="85"/>
      <c r="O20" s="85"/>
      <c r="P20" s="85"/>
      <c r="Q20" s="85"/>
      <c r="R20" s="85"/>
      <c r="S20" s="85"/>
    </row>
    <row r="21" spans="1:19" ht="15">
      <c r="A21" s="85"/>
      <c r="B21" s="85"/>
      <c r="C21" s="85"/>
      <c r="D21" s="85"/>
      <c r="E21" s="85"/>
      <c r="F21" s="85"/>
      <c r="G21" s="85"/>
      <c r="H21" s="85"/>
      <c r="I21" s="85"/>
      <c r="J21" s="85"/>
      <c r="K21" s="85"/>
      <c r="L21" s="85"/>
      <c r="M21" s="85"/>
      <c r="N21" s="85"/>
      <c r="O21" s="85"/>
      <c r="P21" s="85"/>
      <c r="Q21" s="85"/>
      <c r="R21" s="85"/>
      <c r="S21" s="85"/>
    </row>
    <row r="22" spans="1:19" ht="15">
      <c r="A22" s="85"/>
      <c r="B22" s="85"/>
      <c r="C22" s="85"/>
      <c r="D22" s="85"/>
      <c r="E22" s="85"/>
      <c r="F22" s="85"/>
      <c r="G22" s="85"/>
      <c r="H22" s="85"/>
      <c r="I22" s="85"/>
      <c r="J22" s="85"/>
      <c r="K22" s="85"/>
      <c r="L22" s="85"/>
      <c r="M22" s="85"/>
      <c r="N22" s="85"/>
      <c r="O22" s="85"/>
      <c r="P22" s="85"/>
      <c r="Q22" s="85"/>
      <c r="R22" s="85"/>
      <c r="S22" s="85"/>
    </row>
    <row r="23" spans="1:19" ht="15">
      <c r="A23" s="85"/>
      <c r="B23" s="85"/>
      <c r="C23" s="85"/>
      <c r="D23" s="85"/>
      <c r="E23" s="85"/>
      <c r="F23" s="85"/>
      <c r="G23" s="85"/>
      <c r="H23" s="85"/>
      <c r="I23" s="85"/>
      <c r="J23" s="85"/>
      <c r="K23" s="85"/>
      <c r="L23" s="85"/>
      <c r="M23" s="85"/>
      <c r="N23" s="85"/>
      <c r="O23" s="85"/>
      <c r="P23" s="85"/>
      <c r="Q23" s="85"/>
      <c r="R23" s="85"/>
      <c r="S23" s="85"/>
    </row>
    <row r="24" spans="1:19" ht="15">
      <c r="A24" s="85"/>
      <c r="B24" s="85"/>
      <c r="C24" s="85"/>
      <c r="D24" s="85"/>
      <c r="E24" s="85"/>
      <c r="F24" s="85"/>
      <c r="G24" s="85"/>
      <c r="H24" s="85"/>
      <c r="I24" s="85"/>
      <c r="J24" s="85"/>
      <c r="K24" s="85"/>
      <c r="L24" s="85"/>
      <c r="M24" s="85"/>
      <c r="N24" s="85"/>
      <c r="O24" s="85"/>
      <c r="P24" s="85"/>
      <c r="Q24" s="85"/>
      <c r="R24" s="85"/>
      <c r="S24" s="85"/>
    </row>
    <row r="25" spans="1:19" ht="15">
      <c r="A25" s="85"/>
      <c r="B25" s="85"/>
      <c r="C25" s="85"/>
      <c r="D25" s="85"/>
      <c r="E25" s="85"/>
      <c r="F25" s="85"/>
      <c r="G25" s="85"/>
      <c r="H25" s="85"/>
      <c r="I25" s="85"/>
      <c r="J25" s="85"/>
      <c r="K25" s="85"/>
      <c r="L25" s="85"/>
      <c r="M25" s="85"/>
      <c r="N25" s="85"/>
      <c r="O25" s="85"/>
      <c r="P25" s="85"/>
      <c r="Q25" s="85"/>
      <c r="R25" s="85"/>
      <c r="S25" s="85"/>
    </row>
    <row r="26" spans="1:19" ht="15">
      <c r="A26" s="85"/>
      <c r="B26" s="85"/>
      <c r="C26" s="85"/>
      <c r="D26" s="85"/>
      <c r="E26" s="85"/>
      <c r="F26" s="85"/>
      <c r="G26" s="85"/>
      <c r="H26" s="85"/>
      <c r="I26" s="85"/>
      <c r="J26" s="85"/>
      <c r="K26" s="85"/>
      <c r="L26" s="85"/>
      <c r="M26" s="85"/>
      <c r="N26" s="85"/>
      <c r="O26" s="85"/>
      <c r="P26" s="85"/>
      <c r="Q26" s="85"/>
      <c r="R26" s="85"/>
      <c r="S26" s="85"/>
    </row>
    <row r="27" spans="1:19" ht="15">
      <c r="A27" s="85"/>
      <c r="B27" s="85"/>
      <c r="C27" s="85"/>
      <c r="D27" s="85"/>
      <c r="E27" s="85"/>
      <c r="F27" s="85"/>
      <c r="G27" s="85"/>
      <c r="H27" s="85"/>
      <c r="I27" s="85"/>
      <c r="J27" s="85"/>
      <c r="K27" s="85"/>
      <c r="L27" s="85"/>
      <c r="M27" s="85"/>
      <c r="N27" s="85"/>
      <c r="O27" s="85"/>
      <c r="P27" s="85"/>
      <c r="Q27" s="85"/>
      <c r="R27" s="85"/>
      <c r="S27" s="85"/>
    </row>
    <row r="28" spans="1:19" ht="15">
      <c r="A28" s="85"/>
      <c r="B28" s="85"/>
      <c r="C28" s="85"/>
      <c r="D28" s="85"/>
      <c r="E28" s="85"/>
      <c r="F28" s="85"/>
      <c r="G28" s="85"/>
      <c r="H28" s="85"/>
      <c r="I28" s="85"/>
      <c r="J28" s="85"/>
      <c r="K28" s="85"/>
      <c r="L28" s="85"/>
      <c r="M28" s="85"/>
      <c r="N28" s="85"/>
      <c r="O28" s="85"/>
      <c r="P28" s="85"/>
      <c r="Q28" s="85"/>
      <c r="R28" s="85"/>
      <c r="S28" s="85"/>
    </row>
    <row r="29" spans="1:19" ht="15">
      <c r="A29" s="85"/>
      <c r="B29" s="85"/>
      <c r="C29" s="85"/>
      <c r="D29" s="85"/>
      <c r="E29" s="85"/>
      <c r="F29" s="85"/>
      <c r="G29" s="85"/>
      <c r="H29" s="85"/>
      <c r="I29" s="85"/>
      <c r="J29" s="85"/>
      <c r="K29" s="85"/>
      <c r="L29" s="85"/>
      <c r="M29" s="85"/>
      <c r="N29" s="85"/>
      <c r="O29" s="85"/>
      <c r="P29" s="85"/>
      <c r="Q29" s="85"/>
      <c r="R29" s="85"/>
      <c r="S29" s="85"/>
    </row>
    <row r="30" spans="1:27" ht="15">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1:19" ht="15">
      <c r="A31" s="85"/>
      <c r="B31" s="85"/>
      <c r="C31" s="85"/>
      <c r="D31" s="85"/>
      <c r="E31" s="85"/>
      <c r="F31" s="85"/>
      <c r="G31" s="85"/>
      <c r="H31" s="85"/>
      <c r="I31" s="85"/>
      <c r="J31" s="85"/>
      <c r="K31" s="85"/>
      <c r="L31" s="85"/>
      <c r="M31" s="85"/>
      <c r="N31" s="85"/>
      <c r="O31" s="85"/>
      <c r="P31" s="85"/>
      <c r="Q31" s="85"/>
      <c r="R31" s="85"/>
      <c r="S31" s="85"/>
    </row>
    <row r="32" spans="1:19" ht="15">
      <c r="A32" s="85"/>
      <c r="B32" s="85"/>
      <c r="C32" s="85"/>
      <c r="D32" s="85"/>
      <c r="E32" s="85"/>
      <c r="F32" s="85"/>
      <c r="G32" s="85"/>
      <c r="H32" s="85"/>
      <c r="I32" s="85"/>
      <c r="J32" s="85"/>
      <c r="K32" s="85"/>
      <c r="L32" s="85"/>
      <c r="M32" s="85"/>
      <c r="N32" s="85"/>
      <c r="O32" s="85"/>
      <c r="P32" s="85"/>
      <c r="Q32" s="85"/>
      <c r="R32" s="85"/>
      <c r="S32" s="85"/>
    </row>
    <row r="33" spans="1:19" ht="15">
      <c r="A33" s="85"/>
      <c r="B33" s="85"/>
      <c r="C33" s="85"/>
      <c r="D33" s="85"/>
      <c r="E33" s="85"/>
      <c r="F33" s="85"/>
      <c r="G33" s="85"/>
      <c r="H33" s="85"/>
      <c r="I33" s="85"/>
      <c r="J33" s="85"/>
      <c r="K33" s="85"/>
      <c r="L33" s="85"/>
      <c r="M33" s="85"/>
      <c r="N33" s="85"/>
      <c r="O33" s="85"/>
      <c r="P33" s="85"/>
      <c r="Q33" s="85"/>
      <c r="R33" s="85"/>
      <c r="S33" s="85"/>
    </row>
    <row r="34" spans="1:19" ht="15">
      <c r="A34" s="85"/>
      <c r="B34" s="85"/>
      <c r="C34" s="85"/>
      <c r="D34" s="85"/>
      <c r="E34" s="85"/>
      <c r="F34" s="85"/>
      <c r="G34" s="85"/>
      <c r="H34" s="85"/>
      <c r="I34" s="85"/>
      <c r="J34" s="85"/>
      <c r="K34" s="85"/>
      <c r="L34" s="85"/>
      <c r="M34" s="85"/>
      <c r="N34" s="85"/>
      <c r="O34" s="85"/>
      <c r="P34" s="85"/>
      <c r="Q34" s="85"/>
      <c r="R34" s="85"/>
      <c r="S34" s="85"/>
    </row>
    <row r="35" spans="1:19" ht="15">
      <c r="A35" s="85"/>
      <c r="B35" s="85"/>
      <c r="C35" s="85"/>
      <c r="D35" s="85"/>
      <c r="E35" s="85"/>
      <c r="F35" s="85"/>
      <c r="G35" s="85"/>
      <c r="H35" s="85"/>
      <c r="I35" s="85"/>
      <c r="J35" s="85"/>
      <c r="K35" s="85"/>
      <c r="L35" s="85"/>
      <c r="M35" s="85"/>
      <c r="N35" s="85"/>
      <c r="O35" s="85"/>
      <c r="P35" s="85"/>
      <c r="Q35" s="85"/>
      <c r="R35" s="85"/>
      <c r="S35" s="85"/>
    </row>
    <row r="36" spans="1:19" ht="15">
      <c r="A36" s="85"/>
      <c r="B36" s="85"/>
      <c r="C36" s="85"/>
      <c r="D36" s="85"/>
      <c r="E36" s="85"/>
      <c r="F36" s="85"/>
      <c r="G36" s="85"/>
      <c r="H36" s="85"/>
      <c r="I36" s="85"/>
      <c r="J36" s="85"/>
      <c r="K36" s="85"/>
      <c r="L36" s="85"/>
      <c r="M36" s="85"/>
      <c r="N36" s="85"/>
      <c r="O36" s="85"/>
      <c r="P36" s="85"/>
      <c r="Q36" s="85"/>
      <c r="R36" s="85"/>
      <c r="S36" s="85"/>
    </row>
    <row r="37" spans="1:19" ht="15">
      <c r="A37" s="85"/>
      <c r="B37" s="85"/>
      <c r="C37" s="85"/>
      <c r="D37" s="85"/>
      <c r="E37" s="85"/>
      <c r="F37" s="85"/>
      <c r="G37" s="85"/>
      <c r="H37" s="85"/>
      <c r="I37" s="85"/>
      <c r="J37" s="85"/>
      <c r="K37" s="85"/>
      <c r="L37" s="85"/>
      <c r="M37" s="85"/>
      <c r="N37" s="85"/>
      <c r="O37" s="85"/>
      <c r="P37" s="85"/>
      <c r="Q37" s="85"/>
      <c r="R37" s="85"/>
      <c r="S37" s="85"/>
    </row>
    <row r="38" spans="1:19" ht="15">
      <c r="A38" s="85"/>
      <c r="B38" s="85"/>
      <c r="C38" s="85"/>
      <c r="D38" s="85"/>
      <c r="E38" s="85"/>
      <c r="F38" s="85"/>
      <c r="G38" s="85"/>
      <c r="H38" s="85"/>
      <c r="I38" s="85"/>
      <c r="J38" s="85"/>
      <c r="K38" s="85"/>
      <c r="L38" s="85"/>
      <c r="M38" s="85"/>
      <c r="N38" s="85"/>
      <c r="O38" s="85"/>
      <c r="P38" s="85"/>
      <c r="Q38" s="85"/>
      <c r="R38" s="85"/>
      <c r="S38" s="85"/>
    </row>
    <row r="39" spans="1:19" ht="15">
      <c r="A39" s="85"/>
      <c r="B39" s="85"/>
      <c r="C39" s="85"/>
      <c r="D39" s="85"/>
      <c r="E39" s="85"/>
      <c r="F39" s="85"/>
      <c r="G39" s="85"/>
      <c r="H39" s="85"/>
      <c r="I39" s="85"/>
      <c r="J39" s="85"/>
      <c r="K39" s="85"/>
      <c r="L39" s="85"/>
      <c r="M39" s="85"/>
      <c r="N39" s="85"/>
      <c r="O39" s="85"/>
      <c r="P39" s="85"/>
      <c r="Q39" s="85"/>
      <c r="R39" s="85"/>
      <c r="S39" s="85"/>
    </row>
  </sheetData>
  <sheetProtection formatCells="0" formatColumns="0" formatRows="0" insertColumns="0" insertRows="0" insertHyperlinks="0" deleteColumns="0" deleteRows="0" pivotTables="0"/>
  <mergeCells count="2">
    <mergeCell ref="P5:Q5"/>
    <mergeCell ref="P6:Q6"/>
  </mergeCells>
  <printOptions/>
  <pageMargins left="0.7" right="0.7" top="0.75" bottom="0.75" header="0.3" footer="0.3"/>
  <pageSetup horizontalDpi="1200" verticalDpi="1200" orientation="portrait" paperSize="9"/>
</worksheet>
</file>

<file path=xl/worksheets/sheet7.xml><?xml version="1.0" encoding="utf-8"?>
<worksheet xmlns="http://schemas.openxmlformats.org/spreadsheetml/2006/main" xmlns:r="http://schemas.openxmlformats.org/officeDocument/2006/relationships">
  <sheetPr>
    <tabColor theme="3" tint="-0.24997000396251678"/>
  </sheetPr>
  <dimension ref="A1:Z44"/>
  <sheetViews>
    <sheetView workbookViewId="0" topLeftCell="A1">
      <selection activeCell="A2" sqref="A2"/>
    </sheetView>
  </sheetViews>
  <sheetFormatPr defaultColWidth="8.8515625" defaultRowHeight="15"/>
  <cols>
    <col min="1" max="1" width="60.7109375" style="271" bestFit="1" customWidth="1"/>
    <col min="2" max="17" width="7.57421875" style="271" customWidth="1"/>
    <col min="18" max="30" width="8.8515625" style="271" customWidth="1"/>
    <col min="31" max="16384" width="8.8515625" style="271" customWidth="1"/>
  </cols>
  <sheetData>
    <row r="1" spans="1:18" ht="18.75">
      <c r="A1" s="62" t="s">
        <v>325</v>
      </c>
      <c r="B1" s="34"/>
      <c r="C1" s="34"/>
      <c r="D1" s="34"/>
      <c r="E1" s="34"/>
      <c r="F1" s="34"/>
      <c r="G1" s="34"/>
      <c r="H1" s="34"/>
      <c r="I1" s="34"/>
      <c r="J1" s="34"/>
      <c r="K1" s="34"/>
      <c r="L1" s="34"/>
      <c r="M1" s="34"/>
      <c r="N1" s="34"/>
      <c r="O1" s="34"/>
      <c r="P1" s="34"/>
      <c r="Q1" s="34"/>
      <c r="R1" s="85"/>
    </row>
    <row r="2" spans="1:18" ht="15">
      <c r="A2" s="36"/>
      <c r="B2" s="34"/>
      <c r="C2" s="34"/>
      <c r="D2" s="34"/>
      <c r="E2" s="34"/>
      <c r="F2" s="34"/>
      <c r="G2" s="34"/>
      <c r="H2" s="34"/>
      <c r="I2" s="34"/>
      <c r="J2" s="34"/>
      <c r="K2" s="34"/>
      <c r="L2" s="34"/>
      <c r="M2" s="34"/>
      <c r="N2" s="34"/>
      <c r="O2" s="34"/>
      <c r="P2" s="34"/>
      <c r="Q2" s="34"/>
      <c r="R2" s="85"/>
    </row>
    <row r="3" spans="1:18" ht="15">
      <c r="A3" s="34"/>
      <c r="B3" s="34"/>
      <c r="C3" s="34"/>
      <c r="D3" s="35"/>
      <c r="E3" s="35"/>
      <c r="F3" s="35"/>
      <c r="G3" s="35"/>
      <c r="H3" s="35"/>
      <c r="I3" s="35"/>
      <c r="J3" s="35"/>
      <c r="K3" s="35"/>
      <c r="L3" s="35"/>
      <c r="M3" s="35"/>
      <c r="N3" s="35"/>
      <c r="O3" s="48" t="s">
        <v>32</v>
      </c>
      <c r="P3" s="49"/>
      <c r="Q3" s="51" t="str">
        <f>README!I6</f>
        <v>1.1</v>
      </c>
      <c r="R3" s="85"/>
    </row>
    <row r="4" spans="1:18" ht="15">
      <c r="A4" s="34"/>
      <c r="B4" s="34"/>
      <c r="C4" s="34"/>
      <c r="D4" s="35"/>
      <c r="E4" s="35"/>
      <c r="F4" s="35"/>
      <c r="G4" s="35"/>
      <c r="H4" s="35"/>
      <c r="I4" s="35"/>
      <c r="J4" s="35"/>
      <c r="K4" s="35"/>
      <c r="L4" s="35"/>
      <c r="M4" s="35"/>
      <c r="N4" s="35"/>
      <c r="O4" s="48" t="s">
        <v>28</v>
      </c>
      <c r="P4" s="49"/>
      <c r="Q4" s="51" t="str">
        <f>README!I7</f>
        <v>Coresia</v>
      </c>
      <c r="R4" s="85"/>
    </row>
    <row r="5" spans="1:18" ht="15">
      <c r="A5" s="34"/>
      <c r="B5" s="34"/>
      <c r="C5" s="34"/>
      <c r="D5" s="35"/>
      <c r="E5" s="35"/>
      <c r="F5" s="35"/>
      <c r="G5" s="35"/>
      <c r="H5" s="35"/>
      <c r="I5" s="35"/>
      <c r="J5" s="35"/>
      <c r="K5" s="35"/>
      <c r="L5" s="35"/>
      <c r="M5" s="35"/>
      <c r="N5" s="35"/>
      <c r="O5" s="48" t="s">
        <v>33</v>
      </c>
      <c r="P5" s="595">
        <f>README!H8</f>
        <v>41565</v>
      </c>
      <c r="Q5" s="595"/>
      <c r="R5" s="85"/>
    </row>
    <row r="6" spans="1:18" ht="15">
      <c r="A6" s="34"/>
      <c r="B6" s="34"/>
      <c r="C6" s="34"/>
      <c r="D6" s="35"/>
      <c r="E6" s="35"/>
      <c r="F6" s="35"/>
      <c r="G6" s="35"/>
      <c r="H6" s="35"/>
      <c r="I6" s="35"/>
      <c r="J6" s="35"/>
      <c r="K6" s="35"/>
      <c r="L6" s="35"/>
      <c r="M6" s="35"/>
      <c r="N6" s="35"/>
      <c r="O6" s="48" t="s">
        <v>25</v>
      </c>
      <c r="P6" s="595">
        <f>README!H9</f>
        <v>41605</v>
      </c>
      <c r="Q6" s="595"/>
      <c r="R6" s="85"/>
    </row>
    <row r="7" spans="1:18" ht="15">
      <c r="A7" s="34"/>
      <c r="B7" s="34"/>
      <c r="C7" s="34"/>
      <c r="D7" s="35"/>
      <c r="E7" s="35"/>
      <c r="F7" s="35"/>
      <c r="G7" s="35"/>
      <c r="H7" s="35"/>
      <c r="I7" s="35"/>
      <c r="J7" s="35"/>
      <c r="K7" s="35"/>
      <c r="L7" s="35"/>
      <c r="M7" s="35"/>
      <c r="N7" s="35"/>
      <c r="O7" s="48" t="s">
        <v>26</v>
      </c>
      <c r="P7" s="49"/>
      <c r="Q7" s="51" t="str">
        <f>README!I10</f>
        <v>ABND guide</v>
      </c>
      <c r="R7" s="85"/>
    </row>
    <row r="8" spans="1:18" ht="15">
      <c r="A8" s="34"/>
      <c r="B8" s="34"/>
      <c r="C8" s="34"/>
      <c r="D8" s="34"/>
      <c r="E8" s="34"/>
      <c r="F8" s="34"/>
      <c r="G8" s="34"/>
      <c r="H8" s="34"/>
      <c r="I8" s="34"/>
      <c r="J8" s="34"/>
      <c r="K8" s="34"/>
      <c r="L8" s="34"/>
      <c r="M8" s="34"/>
      <c r="N8" s="34"/>
      <c r="O8" s="34"/>
      <c r="P8" s="34"/>
      <c r="Q8" s="34"/>
      <c r="R8" s="85"/>
    </row>
    <row r="9" spans="1:18" ht="15">
      <c r="A9" s="313" t="s">
        <v>220</v>
      </c>
      <c r="B9" s="53">
        <v>2005</v>
      </c>
      <c r="C9" s="300">
        <v>2006</v>
      </c>
      <c r="D9" s="300">
        <v>2007</v>
      </c>
      <c r="E9" s="300">
        <v>2008</v>
      </c>
      <c r="F9" s="300">
        <v>2009</v>
      </c>
      <c r="G9" s="300">
        <v>2010</v>
      </c>
      <c r="H9" s="331">
        <v>2011</v>
      </c>
      <c r="I9" s="53">
        <v>2012</v>
      </c>
      <c r="J9" s="300">
        <v>2013</v>
      </c>
      <c r="K9" s="300">
        <v>2014</v>
      </c>
      <c r="L9" s="300">
        <v>2015</v>
      </c>
      <c r="M9" s="300">
        <v>2016</v>
      </c>
      <c r="N9" s="300">
        <v>2017</v>
      </c>
      <c r="O9" s="300">
        <v>2018</v>
      </c>
      <c r="P9" s="300">
        <v>2019</v>
      </c>
      <c r="Q9" s="331">
        <v>2020</v>
      </c>
      <c r="R9" s="85"/>
    </row>
    <row r="10" spans="1:25" s="273" customFormat="1" ht="15">
      <c r="A10" s="169" t="s">
        <v>221</v>
      </c>
      <c r="B10" s="472">
        <f>'GGO (SQ)'!B10</f>
        <v>1387.832</v>
      </c>
      <c r="C10" s="472">
        <f>'GGO (SQ)'!C10</f>
        <v>1534.841</v>
      </c>
      <c r="D10" s="472">
        <f>'GGO (SQ)'!D10</f>
        <v>1578.71</v>
      </c>
      <c r="E10" s="472">
        <f>'GGO (SQ)'!E10</f>
        <v>1600.795</v>
      </c>
      <c r="F10" s="472">
        <f>'GGO (SQ)'!F10</f>
        <v>1600.908</v>
      </c>
      <c r="G10" s="472">
        <f>'GGO (SQ)'!G10</f>
        <v>1694.319</v>
      </c>
      <c r="H10" s="473">
        <f>'GGO (SQ)'!H10</f>
        <v>1868.366</v>
      </c>
      <c r="I10" s="494">
        <f>'GGO (SQ)'!I10</f>
        <v>2034.257</v>
      </c>
      <c r="J10" s="494">
        <f>'GGO (SQ)'!J10</f>
        <v>2441.517</v>
      </c>
      <c r="K10" s="494">
        <f>'GGO (SQ)'!K10</f>
        <v>2652.448</v>
      </c>
      <c r="L10" s="494">
        <f>'GGO (SQ)'!L10</f>
        <v>2891.711</v>
      </c>
      <c r="M10" s="494">
        <f>'GGO (SQ)'!M10</f>
        <v>3154.668</v>
      </c>
      <c r="N10" s="494">
        <f>'GGO (SQ)'!N10</f>
        <v>3435.496</v>
      </c>
      <c r="O10" s="494">
        <f>'GGO (SQ)'!O10</f>
        <v>3750.851</v>
      </c>
      <c r="P10" s="494">
        <f>'GGO (SQ)'!P10</f>
        <v>4086.01</v>
      </c>
      <c r="Q10" s="495">
        <f>'GGO (SQ)'!Q10</f>
        <v>4463.197</v>
      </c>
      <c r="R10" s="85"/>
      <c r="S10" s="272"/>
      <c r="T10" s="272"/>
      <c r="U10" s="272"/>
      <c r="V10" s="272"/>
      <c r="W10" s="272"/>
      <c r="X10" s="272"/>
      <c r="Y10" s="272"/>
    </row>
    <row r="11" spans="1:25" s="273" customFormat="1" ht="15">
      <c r="A11" s="330" t="s">
        <v>326</v>
      </c>
      <c r="B11" s="472">
        <f>'GGO (SQ)'!B11</f>
        <v>1443.226</v>
      </c>
      <c r="C11" s="472">
        <f>'GGO (SQ)'!C11</f>
        <v>1623.812</v>
      </c>
      <c r="D11" s="472">
        <f>'GGO (SQ)'!D11</f>
        <v>1842.457</v>
      </c>
      <c r="E11" s="472">
        <f>'GGO (SQ)'!E11</f>
        <v>1929.256</v>
      </c>
      <c r="F11" s="472">
        <f>'GGO (SQ)'!F11</f>
        <v>2232.658</v>
      </c>
      <c r="G11" s="472">
        <f>'GGO (SQ)'!G11</f>
        <v>2139.767</v>
      </c>
      <c r="H11" s="473">
        <f>'GGO (SQ)'!H11</f>
        <v>2577.42</v>
      </c>
      <c r="I11" s="494">
        <f>'GGO (SQ)'!I11</f>
        <v>2379.999</v>
      </c>
      <c r="J11" s="494">
        <f>'GGO (SQ)'!J11</f>
        <v>2400</v>
      </c>
      <c r="K11" s="494">
        <f>'GGO (SQ)'!K11</f>
        <v>2583.572</v>
      </c>
      <c r="L11" s="494">
        <f>'GGO (SQ)'!L11</f>
        <v>2781.754</v>
      </c>
      <c r="M11" s="494">
        <f>'GGO (SQ)'!M11</f>
        <v>2995.766</v>
      </c>
      <c r="N11" s="494">
        <f>'GGO (SQ)'!N11</f>
        <v>3226.932</v>
      </c>
      <c r="O11" s="494">
        <f>'GGO (SQ)'!O11</f>
        <v>3476.696</v>
      </c>
      <c r="P11" s="494">
        <f>'GGO (SQ)'!P11</f>
        <v>3746.626</v>
      </c>
      <c r="Q11" s="495">
        <f>'GGO (SQ)'!Q11</f>
        <v>4038.433</v>
      </c>
      <c r="R11" s="85"/>
      <c r="S11" s="272"/>
      <c r="T11" s="272"/>
      <c r="U11" s="272"/>
      <c r="V11" s="272"/>
      <c r="W11" s="272"/>
      <c r="X11" s="272"/>
      <c r="Y11" s="272"/>
    </row>
    <row r="12" spans="1:18" ht="15">
      <c r="A12" s="323" t="s">
        <v>327</v>
      </c>
      <c r="B12" s="471"/>
      <c r="C12" s="472"/>
      <c r="D12" s="472"/>
      <c r="E12" s="472"/>
      <c r="F12" s="472"/>
      <c r="G12" s="472"/>
      <c r="H12" s="473"/>
      <c r="I12" s="496"/>
      <c r="J12" s="494">
        <f>J11+(Health!D28+Children!D39+'Working age'!D24+'Working age'!D44+Elderly!D33+Maternity!D49+HIV!D43+HIV!D78)/1000</f>
        <v>2400</v>
      </c>
      <c r="K12" s="494">
        <f>K11+(Health!E28+Children!E39+'Working age'!E24+'Working age'!E44+Elderly!E33+Maternity!E49+HIV!E43+HIV!E78)/1000</f>
        <v>2612.524711896988</v>
      </c>
      <c r="L12" s="494">
        <f>L11+(Health!F28+Children!F39+'Working age'!F24+'Working age'!F44+Elderly!F33+Maternity!F49+HIV!F43+HIV!F78)/1000</f>
        <v>2845.499890757546</v>
      </c>
      <c r="M12" s="494">
        <f>M11+(Health!G28+Children!G39+'Working age'!G24+'Working age'!G44+Elderly!G33+Maternity!G49+HIV!G43+HIV!G78)/1000</f>
        <v>3096.812692924836</v>
      </c>
      <c r="N12" s="494">
        <f>N11+(Health!H28+Children!H39+'Working age'!H24+'Working age'!H44+Elderly!H33+Maternity!H49+HIV!H43+HIV!H78)/1000</f>
        <v>3351.1204165245813</v>
      </c>
      <c r="O12" s="494">
        <f>O11+(Health!I28+Children!I39+'Working age'!I24+'Working age'!I44+Elderly!I33+Maternity!I49+HIV!I43+HIV!I78)/1000</f>
        <v>3620.6074821794823</v>
      </c>
      <c r="P12" s="494">
        <f>P11+(Health!J28+Children!J39+'Working age'!J24+'Working age'!J44+Elderly!J33+Maternity!J49+HIV!J43+HIV!J78)/1000</f>
        <v>3896.7785399328145</v>
      </c>
      <c r="Q12" s="495">
        <f>Q11+(Health!K28+Children!K39+'Working age'!K24+'Working age'!K44+Elderly!K33+Maternity!K49+HIV!K43+HIV!K78)/1000</f>
        <v>4195.207571170539</v>
      </c>
      <c r="R12" s="85"/>
    </row>
    <row r="13" spans="1:18" ht="15">
      <c r="A13" s="166" t="s">
        <v>328</v>
      </c>
      <c r="B13" s="474"/>
      <c r="C13" s="475"/>
      <c r="D13" s="475"/>
      <c r="E13" s="475"/>
      <c r="F13" s="475"/>
      <c r="G13" s="475"/>
      <c r="H13" s="476"/>
      <c r="I13" s="465"/>
      <c r="J13" s="465">
        <f>J11+(Health!D50+Children!D22+Children!D57+'Working age'!D24+'Working age'!D44+'Working age'!D71+Elderly!D57+Elderly!D76+Maternity!D67+HIV!D78+HIV!D120)/1000</f>
        <v>2400</v>
      </c>
      <c r="K13" s="465">
        <f>K11+(Health!E50+Children!E22+Children!E57+'Working age'!E24+'Working age'!E44+'Working age'!E71+Elderly!E57+Elderly!E76+Maternity!E67+HIV!E78+HIV!E120)/1000</f>
        <v>2788.9415566357793</v>
      </c>
      <c r="L13" s="465">
        <f>L11+(Health!F50+Children!F22+Children!F57+'Working age'!F24+'Working age'!F44+'Working age'!F71+Elderly!F57+Elderly!F76+Maternity!F67+HIV!F78+HIV!F120)/1000</f>
        <v>3097.5567422446184</v>
      </c>
      <c r="M13" s="465">
        <f>M11+(Health!G50+Children!G22+Children!G57+'Working age'!G24+'Working age'!G44+'Working age'!G71+Elderly!G57+Elderly!G76+Maternity!G67+HIV!G78+HIV!G120)/1000</f>
        <v>3433.1330165468526</v>
      </c>
      <c r="N13" s="465">
        <f>N11+(Health!H50+Children!H22+Children!H57+'Working age'!H24+'Working age'!H44+'Working age'!H71+Elderly!H57+Elderly!H76+Maternity!H67+HIV!H78+HIV!H120)/1000</f>
        <v>3780.215977459621</v>
      </c>
      <c r="O13" s="465">
        <f>O11+(Health!I50+Children!I22+Children!I57+'Working age'!I24+'Working age'!I44+'Working age'!I71+Elderly!I57+Elderly!I76+Maternity!I67+HIV!I78+HIV!I120)/1000</f>
        <v>4104.509393325575</v>
      </c>
      <c r="P13" s="465">
        <f>P11+(Health!J50+Children!J22+Children!J57+'Working age'!J24+'Working age'!J44+'Working age'!J71+Elderly!J57+Elderly!J76+Maternity!J67+HIV!J78+HIV!J120)/1000</f>
        <v>4407.871036406313</v>
      </c>
      <c r="Q13" s="466">
        <f>Q11+(Health!K50+Children!K22+Children!K57+'Working age'!K24+'Working age'!K44+'Working age'!K71+Elderly!K57+Elderly!K76+Maternity!K67+HIV!K78+HIV!K120)/1000</f>
        <v>4734.783159943978</v>
      </c>
      <c r="R13" s="85"/>
    </row>
    <row r="14" spans="1:18" ht="15">
      <c r="A14" s="84"/>
      <c r="B14" s="85"/>
      <c r="C14" s="85"/>
      <c r="D14" s="85"/>
      <c r="E14" s="85"/>
      <c r="F14" s="85"/>
      <c r="G14" s="85"/>
      <c r="H14" s="85"/>
      <c r="I14" s="85"/>
      <c r="J14" s="85"/>
      <c r="K14" s="85"/>
      <c r="L14" s="85"/>
      <c r="M14" s="85"/>
      <c r="N14" s="85"/>
      <c r="O14" s="85"/>
      <c r="P14" s="85"/>
      <c r="Q14" s="168"/>
      <c r="R14" s="85"/>
    </row>
    <row r="15" spans="1:18" ht="15">
      <c r="A15" s="165" t="s">
        <v>329</v>
      </c>
      <c r="B15" s="477">
        <f>B10-B11</f>
        <v>-55.394000000000005</v>
      </c>
      <c r="C15" s="478">
        <f>C10-C11</f>
        <v>-88.971</v>
      </c>
      <c r="D15" s="478">
        <f>D10-D11</f>
        <v>-263.74700000000007</v>
      </c>
      <c r="E15" s="478">
        <f aca="true" t="shared" si="0" ref="E15:H15">E10-E11</f>
        <v>-328.461</v>
      </c>
      <c r="F15" s="478">
        <f t="shared" si="0"/>
        <v>-631.75</v>
      </c>
      <c r="G15" s="478">
        <f t="shared" si="0"/>
        <v>-445.44799999999987</v>
      </c>
      <c r="H15" s="479">
        <f t="shared" si="0"/>
        <v>-709.0540000000001</v>
      </c>
      <c r="I15" s="467">
        <f>I10-I11</f>
        <v>-345.74199999999973</v>
      </c>
      <c r="J15" s="467">
        <f>J10-J11</f>
        <v>41.516999999999825</v>
      </c>
      <c r="K15" s="467">
        <f aca="true" t="shared" si="1" ref="K15:P15">K10-K11</f>
        <v>68.87599999999975</v>
      </c>
      <c r="L15" s="467">
        <f t="shared" si="1"/>
        <v>109.95699999999988</v>
      </c>
      <c r="M15" s="467">
        <f t="shared" si="1"/>
        <v>158.90200000000004</v>
      </c>
      <c r="N15" s="467">
        <f t="shared" si="1"/>
        <v>208.5640000000003</v>
      </c>
      <c r="O15" s="467">
        <f t="shared" si="1"/>
        <v>274.1550000000002</v>
      </c>
      <c r="P15" s="467">
        <f t="shared" si="1"/>
        <v>339.384</v>
      </c>
      <c r="Q15" s="468">
        <f>Q10-Q11</f>
        <v>424.7640000000001</v>
      </c>
      <c r="R15" s="85"/>
    </row>
    <row r="16" spans="1:18" ht="15">
      <c r="A16" s="169" t="s">
        <v>330</v>
      </c>
      <c r="B16" s="471"/>
      <c r="C16" s="472"/>
      <c r="D16" s="472"/>
      <c r="E16" s="472"/>
      <c r="F16" s="472"/>
      <c r="G16" s="472"/>
      <c r="H16" s="473"/>
      <c r="I16" s="494"/>
      <c r="J16" s="494">
        <f aca="true" t="shared" si="2" ref="J16:Q16">J10-J12</f>
        <v>41.516999999999825</v>
      </c>
      <c r="K16" s="494">
        <f t="shared" si="2"/>
        <v>39.923288103012055</v>
      </c>
      <c r="L16" s="494">
        <f t="shared" si="2"/>
        <v>46.21110924245386</v>
      </c>
      <c r="M16" s="494">
        <f t="shared" si="2"/>
        <v>57.85530707516409</v>
      </c>
      <c r="N16" s="494">
        <f t="shared" si="2"/>
        <v>84.37558347541881</v>
      </c>
      <c r="O16" s="494">
        <f t="shared" si="2"/>
        <v>130.2435178205178</v>
      </c>
      <c r="P16" s="494">
        <f t="shared" si="2"/>
        <v>189.2314600671857</v>
      </c>
      <c r="Q16" s="495">
        <f t="shared" si="2"/>
        <v>267.98942882946085</v>
      </c>
      <c r="R16" s="85"/>
    </row>
    <row r="17" spans="1:18" ht="15">
      <c r="A17" s="166" t="s">
        <v>331</v>
      </c>
      <c r="B17" s="474"/>
      <c r="C17" s="475"/>
      <c r="D17" s="475"/>
      <c r="E17" s="475"/>
      <c r="F17" s="475"/>
      <c r="G17" s="475"/>
      <c r="H17" s="476"/>
      <c r="I17" s="465"/>
      <c r="J17" s="465">
        <f aca="true" t="shared" si="3" ref="J17:Q17">J10-J13</f>
        <v>41.516999999999825</v>
      </c>
      <c r="K17" s="465">
        <f t="shared" si="3"/>
        <v>-136.49355663577944</v>
      </c>
      <c r="L17" s="465">
        <f t="shared" si="3"/>
        <v>-205.84574224461858</v>
      </c>
      <c r="M17" s="465">
        <f t="shared" si="3"/>
        <v>-278.46501654685244</v>
      </c>
      <c r="N17" s="465">
        <f t="shared" si="3"/>
        <v>-344.7199774596211</v>
      </c>
      <c r="O17" s="465">
        <f t="shared" si="3"/>
        <v>-353.6583933255747</v>
      </c>
      <c r="P17" s="465">
        <f t="shared" si="3"/>
        <v>-321.86103640631245</v>
      </c>
      <c r="Q17" s="466">
        <f t="shared" si="3"/>
        <v>-271.5861599439777</v>
      </c>
      <c r="R17" s="85"/>
    </row>
    <row r="18" spans="1:18" ht="15">
      <c r="A18" s="169"/>
      <c r="B18" s="324"/>
      <c r="C18" s="325"/>
      <c r="D18" s="325"/>
      <c r="E18" s="325"/>
      <c r="F18" s="325"/>
      <c r="G18" s="325"/>
      <c r="H18" s="326"/>
      <c r="I18" s="325"/>
      <c r="J18" s="325"/>
      <c r="K18" s="325"/>
      <c r="L18" s="325"/>
      <c r="M18" s="325"/>
      <c r="N18" s="325"/>
      <c r="O18" s="325"/>
      <c r="P18" s="325"/>
      <c r="Q18" s="326"/>
      <c r="R18" s="85"/>
    </row>
    <row r="19" spans="1:18" ht="15">
      <c r="A19" s="327" t="s">
        <v>335</v>
      </c>
      <c r="B19" s="483">
        <f>B15/(100*ECO!B28)%</f>
        <v>-0.007809792623317153</v>
      </c>
      <c r="C19" s="484">
        <f>C15/(100*ECO!C28)%</f>
        <v>-0.011341195726162342</v>
      </c>
      <c r="D19" s="484">
        <f>D15/(100*ECO!D28)%</f>
        <v>-0.03093737500278587</v>
      </c>
      <c r="E19" s="484">
        <f>E15/(100*ECO!E28)%</f>
        <v>-0.036172246590760175</v>
      </c>
      <c r="F19" s="484">
        <f>F15/(100*ECO!F28)%</f>
        <v>-0.06987186931444277</v>
      </c>
      <c r="G19" s="484">
        <f>G15/(100*ECO!G28)%</f>
        <v>-0.04408272487783057</v>
      </c>
      <c r="H19" s="484">
        <f>H15/(100*ECO!H28)%</f>
        <v>-0.06727618613874538</v>
      </c>
      <c r="I19" s="487">
        <f>I15/(100*ECO!I28)%</f>
        <v>-0.030825976980954743</v>
      </c>
      <c r="J19" s="488">
        <f>J15/(100*ECO!J28)%</f>
        <v>0.003433188564472847</v>
      </c>
      <c r="K19" s="488">
        <f>K15/(100*ECO!K28)%</f>
        <v>0.0052607177691672375</v>
      </c>
      <c r="L19" s="488">
        <f>L15/(100*ECO!L28)%</f>
        <v>0.007747504504117287</v>
      </c>
      <c r="M19" s="488">
        <f>M15/(100*ECO!M28)%</f>
        <v>0.010321709809658117</v>
      </c>
      <c r="N19" s="488">
        <f>N15/(100*ECO!N28)%</f>
        <v>0.012484242358217157</v>
      </c>
      <c r="O19" s="488">
        <f>O15/(100*ECO!O28)%</f>
        <v>0.015117319064182516</v>
      </c>
      <c r="P19" s="488">
        <f>P15/(100*ECO!P28)%</f>
        <v>0.01724018992534148</v>
      </c>
      <c r="Q19" s="489">
        <f>Q15/(100*ECO!Q28)%</f>
        <v>0.019868114679795955</v>
      </c>
      <c r="R19" s="85"/>
    </row>
    <row r="20" spans="1:18" ht="15">
      <c r="A20" s="328" t="s">
        <v>334</v>
      </c>
      <c r="B20" s="485"/>
      <c r="C20" s="486"/>
      <c r="D20" s="486"/>
      <c r="E20" s="486"/>
      <c r="F20" s="486"/>
      <c r="G20" s="486"/>
      <c r="H20" s="486"/>
      <c r="I20" s="490"/>
      <c r="J20" s="491">
        <f>J16/(100*ECO!J28)%</f>
        <v>0.003433188564472847</v>
      </c>
      <c r="K20" s="491">
        <f>K16/(100*ECO!K28)%</f>
        <v>0.0030493227122234054</v>
      </c>
      <c r="L20" s="491">
        <f>L16/(100*ECO!L28)%</f>
        <v>0.0032560071391195436</v>
      </c>
      <c r="M20" s="491">
        <f>M16/(100*ECO!M28)%</f>
        <v>0.0037580753582617194</v>
      </c>
      <c r="N20" s="491">
        <f>N16/(100*ECO!N28)%</f>
        <v>0.005050561138178734</v>
      </c>
      <c r="O20" s="491">
        <f>O16/(100*ECO!O28)%</f>
        <v>0.007181823475531388</v>
      </c>
      <c r="P20" s="491">
        <f>P16/(100*ECO!P28)%</f>
        <v>0.009612669752869769</v>
      </c>
      <c r="Q20" s="492">
        <f>Q16/(100*ECO!Q28)%</f>
        <v>0.012535065836456817</v>
      </c>
      <c r="R20" s="85"/>
    </row>
    <row r="21" spans="1:18" ht="15">
      <c r="A21" s="329" t="s">
        <v>333</v>
      </c>
      <c r="B21" s="480"/>
      <c r="C21" s="481"/>
      <c r="D21" s="481"/>
      <c r="E21" s="481"/>
      <c r="F21" s="481"/>
      <c r="G21" s="481"/>
      <c r="H21" s="481"/>
      <c r="I21" s="493"/>
      <c r="J21" s="469">
        <f>J17/(100*ECO!J28)%</f>
        <v>0.003433188564472847</v>
      </c>
      <c r="K21" s="469">
        <f>K17/(100*ECO!K28)%</f>
        <v>-0.010425316202605875</v>
      </c>
      <c r="L21" s="469">
        <f>L17/(100*ECO!L28)%</f>
        <v>-0.01450376797469511</v>
      </c>
      <c r="M21" s="469">
        <f>M17/(100*ECO!M28)%</f>
        <v>-0.018088098909631447</v>
      </c>
      <c r="N21" s="469">
        <f>N17/(100*ECO!N28)%</f>
        <v>-0.02063427889916313</v>
      </c>
      <c r="O21" s="469">
        <f>O17/(100*ECO!O28)%</f>
        <v>-0.019501255755426182</v>
      </c>
      <c r="P21" s="469">
        <f>P17/(100*ECO!P28)%</f>
        <v>-0.016350050082537995</v>
      </c>
      <c r="Q21" s="470">
        <f>Q17/(100*ECO!Q28)%</f>
        <v>-0.012703301059440899</v>
      </c>
      <c r="R21" s="85"/>
    </row>
    <row r="22" spans="1:18" ht="15">
      <c r="A22" s="85"/>
      <c r="B22" s="85"/>
      <c r="C22" s="85"/>
      <c r="D22" s="85"/>
      <c r="E22" s="85"/>
      <c r="F22" s="85"/>
      <c r="G22" s="85"/>
      <c r="H22" s="291"/>
      <c r="I22" s="85"/>
      <c r="J22" s="332"/>
      <c r="K22" s="332"/>
      <c r="L22" s="332"/>
      <c r="M22" s="332"/>
      <c r="N22" s="332"/>
      <c r="O22" s="332"/>
      <c r="P22" s="332"/>
      <c r="Q22" s="332"/>
      <c r="R22" s="85"/>
    </row>
    <row r="23" spans="1:18" ht="15">
      <c r="A23" s="85"/>
      <c r="B23" s="85"/>
      <c r="C23" s="85"/>
      <c r="D23" s="85"/>
      <c r="E23" s="85"/>
      <c r="F23" s="85"/>
      <c r="G23" s="85"/>
      <c r="H23" s="85"/>
      <c r="I23" s="85"/>
      <c r="J23" s="332"/>
      <c r="K23" s="332"/>
      <c r="L23" s="332"/>
      <c r="M23" s="332"/>
      <c r="N23" s="332"/>
      <c r="O23" s="332"/>
      <c r="P23" s="332"/>
      <c r="Q23" s="332"/>
      <c r="R23" s="85"/>
    </row>
    <row r="24" spans="1:18" ht="15">
      <c r="A24" s="85"/>
      <c r="B24" s="85"/>
      <c r="C24" s="85"/>
      <c r="D24" s="85"/>
      <c r="E24" s="85"/>
      <c r="F24" s="85"/>
      <c r="G24" s="85"/>
      <c r="H24" s="85"/>
      <c r="I24" s="85"/>
      <c r="J24" s="85"/>
      <c r="K24" s="85"/>
      <c r="L24" s="85"/>
      <c r="M24" s="85"/>
      <c r="N24" s="85"/>
      <c r="O24" s="85"/>
      <c r="P24" s="85"/>
      <c r="Q24" s="85"/>
      <c r="R24" s="85"/>
    </row>
    <row r="25" spans="1:18" ht="15">
      <c r="A25" s="85"/>
      <c r="B25" s="85"/>
      <c r="C25" s="85"/>
      <c r="D25" s="85"/>
      <c r="E25" s="85"/>
      <c r="F25" s="85"/>
      <c r="G25" s="85"/>
      <c r="H25" s="85"/>
      <c r="I25" s="85"/>
      <c r="J25" s="291"/>
      <c r="K25" s="291"/>
      <c r="L25" s="291"/>
      <c r="M25" s="291"/>
      <c r="N25" s="291"/>
      <c r="O25" s="291"/>
      <c r="P25" s="291"/>
      <c r="Q25" s="291"/>
      <c r="R25" s="85"/>
    </row>
    <row r="26" spans="1:18" ht="15">
      <c r="A26" s="85"/>
      <c r="B26" s="85"/>
      <c r="C26" s="85"/>
      <c r="D26" s="85"/>
      <c r="E26" s="85"/>
      <c r="F26" s="85"/>
      <c r="G26" s="85"/>
      <c r="H26" s="85"/>
      <c r="I26" s="85"/>
      <c r="J26" s="333"/>
      <c r="K26" s="333"/>
      <c r="L26" s="333"/>
      <c r="M26" s="333"/>
      <c r="N26" s="333"/>
      <c r="O26" s="333"/>
      <c r="P26" s="333"/>
      <c r="Q26" s="333"/>
      <c r="R26" s="85"/>
    </row>
    <row r="27" spans="1:18" ht="15">
      <c r="A27" s="85"/>
      <c r="B27" s="85"/>
      <c r="C27" s="85"/>
      <c r="D27" s="85"/>
      <c r="E27" s="85"/>
      <c r="F27" s="85"/>
      <c r="G27" s="85"/>
      <c r="H27" s="85"/>
      <c r="I27" s="85"/>
      <c r="J27" s="85"/>
      <c r="K27" s="85"/>
      <c r="L27" s="85"/>
      <c r="M27" s="85"/>
      <c r="N27" s="85"/>
      <c r="O27" s="85"/>
      <c r="P27" s="85"/>
      <c r="Q27" s="85"/>
      <c r="R27" s="85"/>
    </row>
    <row r="28" spans="1:18" ht="15">
      <c r="A28" s="85"/>
      <c r="B28" s="85"/>
      <c r="C28" s="85"/>
      <c r="D28" s="85"/>
      <c r="E28" s="85"/>
      <c r="F28" s="85"/>
      <c r="G28" s="85"/>
      <c r="H28" s="85"/>
      <c r="I28" s="85"/>
      <c r="J28" s="85"/>
      <c r="K28" s="85"/>
      <c r="L28" s="85"/>
      <c r="M28" s="85"/>
      <c r="N28" s="85"/>
      <c r="O28" s="85"/>
      <c r="P28" s="85"/>
      <c r="Q28" s="85"/>
      <c r="R28" s="85"/>
    </row>
    <row r="29" spans="1:18" ht="15">
      <c r="A29" s="85"/>
      <c r="B29" s="85"/>
      <c r="C29" s="85"/>
      <c r="D29" s="85"/>
      <c r="E29" s="85"/>
      <c r="F29" s="85"/>
      <c r="G29" s="85"/>
      <c r="H29" s="85"/>
      <c r="I29" s="85"/>
      <c r="J29" s="85"/>
      <c r="K29" s="85"/>
      <c r="L29" s="85"/>
      <c r="M29" s="85"/>
      <c r="N29" s="85"/>
      <c r="O29" s="85"/>
      <c r="P29" s="85"/>
      <c r="Q29" s="85"/>
      <c r="R29" s="85"/>
    </row>
    <row r="30" spans="1:18" ht="15">
      <c r="A30" s="85"/>
      <c r="B30" s="85"/>
      <c r="C30" s="85"/>
      <c r="D30" s="85"/>
      <c r="E30" s="85"/>
      <c r="F30" s="85"/>
      <c r="G30" s="85"/>
      <c r="H30" s="85"/>
      <c r="I30" s="85"/>
      <c r="J30" s="85"/>
      <c r="K30" s="85"/>
      <c r="L30" s="85"/>
      <c r="M30" s="85"/>
      <c r="N30" s="85"/>
      <c r="O30" s="85"/>
      <c r="P30" s="85"/>
      <c r="Q30" s="85"/>
      <c r="R30" s="85"/>
    </row>
    <row r="31" spans="1:18" ht="15">
      <c r="A31" s="85"/>
      <c r="B31" s="85"/>
      <c r="C31" s="85"/>
      <c r="D31" s="85"/>
      <c r="E31" s="85"/>
      <c r="F31" s="85"/>
      <c r="G31" s="85"/>
      <c r="H31" s="85"/>
      <c r="I31" s="85"/>
      <c r="J31" s="85"/>
      <c r="K31" s="85"/>
      <c r="L31" s="85"/>
      <c r="M31" s="85"/>
      <c r="N31" s="85"/>
      <c r="O31" s="85"/>
      <c r="P31" s="85"/>
      <c r="Q31" s="85"/>
      <c r="R31" s="85"/>
    </row>
    <row r="32" spans="1:18" ht="15">
      <c r="A32" s="85"/>
      <c r="B32" s="85"/>
      <c r="C32" s="85"/>
      <c r="D32" s="85"/>
      <c r="E32" s="85"/>
      <c r="F32" s="85"/>
      <c r="G32" s="85"/>
      <c r="H32" s="85"/>
      <c r="I32" s="85"/>
      <c r="J32" s="85"/>
      <c r="K32" s="85"/>
      <c r="L32" s="85"/>
      <c r="M32" s="85"/>
      <c r="N32" s="85"/>
      <c r="O32" s="85"/>
      <c r="P32" s="85"/>
      <c r="Q32" s="85"/>
      <c r="R32" s="85"/>
    </row>
    <row r="33" spans="1:18" ht="15">
      <c r="A33" s="85"/>
      <c r="B33" s="85"/>
      <c r="C33" s="85"/>
      <c r="D33" s="85"/>
      <c r="E33" s="85"/>
      <c r="F33" s="85"/>
      <c r="G33" s="85"/>
      <c r="H33" s="85"/>
      <c r="I33" s="85"/>
      <c r="J33" s="85"/>
      <c r="K33" s="85"/>
      <c r="L33" s="85"/>
      <c r="M33" s="85"/>
      <c r="N33" s="85"/>
      <c r="O33" s="85"/>
      <c r="P33" s="85"/>
      <c r="Q33" s="85"/>
      <c r="R33" s="85"/>
    </row>
    <row r="34" spans="1:18" ht="15">
      <c r="A34" s="85"/>
      <c r="B34" s="85"/>
      <c r="C34" s="85"/>
      <c r="D34" s="85"/>
      <c r="E34" s="85"/>
      <c r="F34" s="85"/>
      <c r="G34" s="85"/>
      <c r="H34" s="85"/>
      <c r="I34" s="85"/>
      <c r="J34" s="85"/>
      <c r="K34" s="85"/>
      <c r="L34" s="85"/>
      <c r="M34" s="85"/>
      <c r="N34" s="85"/>
      <c r="O34" s="85"/>
      <c r="P34" s="85"/>
      <c r="Q34" s="85"/>
      <c r="R34" s="85"/>
    </row>
    <row r="35" spans="1:26" ht="15">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row>
    <row r="36" spans="1:18" ht="15">
      <c r="A36" s="85"/>
      <c r="B36" s="85"/>
      <c r="C36" s="85"/>
      <c r="D36" s="85"/>
      <c r="E36" s="85"/>
      <c r="F36" s="85"/>
      <c r="G36" s="85"/>
      <c r="H36" s="85"/>
      <c r="I36" s="85"/>
      <c r="J36" s="85"/>
      <c r="K36" s="85"/>
      <c r="L36" s="85"/>
      <c r="M36" s="85"/>
      <c r="N36" s="85"/>
      <c r="O36" s="85"/>
      <c r="P36" s="85"/>
      <c r="Q36" s="85"/>
      <c r="R36" s="85"/>
    </row>
    <row r="37" spans="1:18" ht="15">
      <c r="A37" s="85"/>
      <c r="B37" s="85"/>
      <c r="C37" s="85"/>
      <c r="D37" s="85"/>
      <c r="E37" s="85"/>
      <c r="F37" s="85"/>
      <c r="G37" s="85"/>
      <c r="H37" s="85"/>
      <c r="I37" s="85"/>
      <c r="J37" s="85"/>
      <c r="K37" s="85"/>
      <c r="L37" s="85"/>
      <c r="M37" s="85"/>
      <c r="N37" s="85"/>
      <c r="O37" s="85"/>
      <c r="P37" s="85"/>
      <c r="Q37" s="85"/>
      <c r="R37" s="85"/>
    </row>
    <row r="38" spans="1:18" ht="15">
      <c r="A38" s="85"/>
      <c r="B38" s="85"/>
      <c r="C38" s="85"/>
      <c r="D38" s="85"/>
      <c r="E38" s="85"/>
      <c r="F38" s="85"/>
      <c r="G38" s="85"/>
      <c r="H38" s="85"/>
      <c r="I38" s="85"/>
      <c r="J38" s="85"/>
      <c r="K38" s="85"/>
      <c r="L38" s="85"/>
      <c r="M38" s="85"/>
      <c r="N38" s="85"/>
      <c r="O38" s="85"/>
      <c r="P38" s="85"/>
      <c r="Q38" s="85"/>
      <c r="R38" s="85"/>
    </row>
    <row r="39" spans="1:18" ht="15">
      <c r="A39" s="85"/>
      <c r="B39" s="85"/>
      <c r="C39" s="85"/>
      <c r="D39" s="85"/>
      <c r="E39" s="85"/>
      <c r="F39" s="85"/>
      <c r="G39" s="85"/>
      <c r="H39" s="85"/>
      <c r="I39" s="85"/>
      <c r="J39" s="85"/>
      <c r="K39" s="85"/>
      <c r="L39" s="85"/>
      <c r="M39" s="85"/>
      <c r="N39" s="85"/>
      <c r="O39" s="85"/>
      <c r="P39" s="85"/>
      <c r="Q39" s="85"/>
      <c r="R39" s="85"/>
    </row>
    <row r="40" spans="1:18" ht="15">
      <c r="A40" s="85"/>
      <c r="B40" s="85"/>
      <c r="C40" s="85"/>
      <c r="D40" s="85"/>
      <c r="E40" s="85"/>
      <c r="F40" s="85"/>
      <c r="G40" s="85"/>
      <c r="H40" s="85"/>
      <c r="I40" s="85"/>
      <c r="J40" s="85"/>
      <c r="K40" s="85"/>
      <c r="L40" s="85"/>
      <c r="M40" s="85"/>
      <c r="N40" s="85"/>
      <c r="O40" s="85"/>
      <c r="P40" s="85"/>
      <c r="Q40" s="85"/>
      <c r="R40" s="85"/>
    </row>
    <row r="41" spans="1:18" ht="15">
      <c r="A41" s="85"/>
      <c r="B41" s="85"/>
      <c r="C41" s="85"/>
      <c r="D41" s="85"/>
      <c r="E41" s="85"/>
      <c r="F41" s="85"/>
      <c r="G41" s="85"/>
      <c r="H41" s="85"/>
      <c r="I41" s="85"/>
      <c r="J41" s="85"/>
      <c r="K41" s="85"/>
      <c r="L41" s="85"/>
      <c r="M41" s="85"/>
      <c r="N41" s="85"/>
      <c r="O41" s="85"/>
      <c r="P41" s="85"/>
      <c r="Q41" s="85"/>
      <c r="R41" s="85"/>
    </row>
    <row r="42" spans="1:18" ht="15">
      <c r="A42" s="85"/>
      <c r="B42" s="85"/>
      <c r="C42" s="85"/>
      <c r="D42" s="85"/>
      <c r="E42" s="85"/>
      <c r="F42" s="85"/>
      <c r="G42" s="85"/>
      <c r="H42" s="85"/>
      <c r="I42" s="85"/>
      <c r="J42" s="85"/>
      <c r="K42" s="85"/>
      <c r="L42" s="85"/>
      <c r="M42" s="85"/>
      <c r="N42" s="85"/>
      <c r="O42" s="85"/>
      <c r="P42" s="85"/>
      <c r="Q42" s="85"/>
      <c r="R42" s="85"/>
    </row>
    <row r="43" spans="1:18" ht="15">
      <c r="A43" s="85"/>
      <c r="B43" s="85"/>
      <c r="C43" s="85"/>
      <c r="D43" s="85"/>
      <c r="E43" s="85"/>
      <c r="F43" s="85"/>
      <c r="G43" s="85"/>
      <c r="H43" s="85"/>
      <c r="I43" s="85"/>
      <c r="J43" s="85"/>
      <c r="K43" s="85"/>
      <c r="L43" s="85"/>
      <c r="M43" s="85"/>
      <c r="N43" s="85"/>
      <c r="O43" s="85"/>
      <c r="P43" s="85"/>
      <c r="Q43" s="85"/>
      <c r="R43" s="85"/>
    </row>
    <row r="44" spans="1:18" ht="15">
      <c r="A44" s="85"/>
      <c r="B44" s="85"/>
      <c r="C44" s="85"/>
      <c r="D44" s="85"/>
      <c r="E44" s="85"/>
      <c r="F44" s="85"/>
      <c r="G44" s="85"/>
      <c r="H44" s="85"/>
      <c r="I44" s="85"/>
      <c r="J44" s="85"/>
      <c r="K44" s="85"/>
      <c r="L44" s="85"/>
      <c r="M44" s="85"/>
      <c r="N44" s="85"/>
      <c r="O44" s="85"/>
      <c r="P44" s="85"/>
      <c r="Q44" s="85"/>
      <c r="R44" s="85"/>
    </row>
  </sheetData>
  <sheetProtection formatCells="0" formatColumns="0" formatRows="0" insertColumns="0" insertRows="0" insertHyperlinks="0" deleteColumns="0" deleteRows="0" pivotTables="0"/>
  <mergeCells count="2">
    <mergeCell ref="P5:Q5"/>
    <mergeCell ref="P6:Q6"/>
  </mergeCells>
  <printOptions/>
  <pageMargins left="0.7" right="0.7" top="0.75" bottom="0.75" header="0.3" footer="0.3"/>
  <pageSetup horizontalDpi="1200" verticalDpi="1200" orientation="portrait" paperSize="9"/>
  <drawing r:id="rId1"/>
</worksheet>
</file>

<file path=xl/worksheets/sheet8.xml><?xml version="1.0" encoding="utf-8"?>
<worksheet xmlns="http://schemas.openxmlformats.org/spreadsheetml/2006/main" xmlns:r="http://schemas.openxmlformats.org/officeDocument/2006/relationships">
  <sheetPr>
    <tabColor theme="6" tint="-0.24997000396251678"/>
  </sheetPr>
  <dimension ref="A1:O73"/>
  <sheetViews>
    <sheetView workbookViewId="0" topLeftCell="A1">
      <pane ySplit="8" topLeftCell="A9" activePane="bottomLeft" state="frozen"/>
      <selection pane="bottomLeft" activeCell="A2" sqref="A2"/>
    </sheetView>
  </sheetViews>
  <sheetFormatPr defaultColWidth="8.8515625" defaultRowHeight="15"/>
  <cols>
    <col min="1" max="1" width="58.00390625" style="77" customWidth="1"/>
    <col min="2" max="3" width="10.7109375" style="260" customWidth="1"/>
    <col min="4" max="11" width="10.7109375" style="77" customWidth="1"/>
    <col min="12" max="12" width="202.140625" style="77" bestFit="1" customWidth="1"/>
    <col min="13" max="16384" width="8.8515625" style="77" customWidth="1"/>
  </cols>
  <sheetData>
    <row r="1" spans="1:11" ht="18.75">
      <c r="A1" s="579" t="s">
        <v>115</v>
      </c>
      <c r="B1" s="38"/>
      <c r="C1" s="38"/>
      <c r="D1" s="1"/>
      <c r="E1" s="1"/>
      <c r="F1" s="1"/>
      <c r="G1" s="1"/>
      <c r="H1" s="1"/>
      <c r="I1" s="1"/>
      <c r="J1" s="1"/>
      <c r="K1" s="1"/>
    </row>
    <row r="2" spans="1:11" ht="15">
      <c r="A2" s="1"/>
      <c r="B2" s="38"/>
      <c r="C2" s="38"/>
      <c r="D2" s="1"/>
      <c r="E2" s="1"/>
      <c r="F2" s="1"/>
      <c r="G2" s="1"/>
      <c r="H2" s="1"/>
      <c r="I2" s="518" t="s">
        <v>32</v>
      </c>
      <c r="J2" s="519"/>
      <c r="K2" s="520" t="str">
        <f>README!I6</f>
        <v>1.1</v>
      </c>
    </row>
    <row r="3" spans="1:11" ht="15">
      <c r="A3" s="1"/>
      <c r="B3" s="38"/>
      <c r="C3" s="38"/>
      <c r="D3" s="1"/>
      <c r="E3" s="1"/>
      <c r="F3" s="1"/>
      <c r="G3" s="1"/>
      <c r="H3" s="1"/>
      <c r="I3" s="518" t="s">
        <v>28</v>
      </c>
      <c r="J3" s="519"/>
      <c r="K3" s="520" t="str">
        <f>README!I7</f>
        <v>Coresia</v>
      </c>
    </row>
    <row r="4" spans="1:11" ht="15">
      <c r="A4" s="1"/>
      <c r="B4" s="38"/>
      <c r="C4" s="38"/>
      <c r="D4" s="1"/>
      <c r="E4" s="1"/>
      <c r="F4" s="1"/>
      <c r="G4" s="1"/>
      <c r="H4" s="1"/>
      <c r="I4" s="518" t="s">
        <v>33</v>
      </c>
      <c r="J4" s="602">
        <f>README!H8</f>
        <v>41565</v>
      </c>
      <c r="K4" s="602"/>
    </row>
    <row r="5" spans="2:11" ht="15">
      <c r="B5" s="38"/>
      <c r="C5" s="38"/>
      <c r="D5" s="1"/>
      <c r="E5" s="1"/>
      <c r="F5" s="1"/>
      <c r="G5" s="1"/>
      <c r="H5" s="1"/>
      <c r="I5" s="518" t="s">
        <v>25</v>
      </c>
      <c r="J5" s="602">
        <f>README!H9</f>
        <v>41605</v>
      </c>
      <c r="K5" s="602"/>
    </row>
    <row r="6" spans="1:11" ht="15">
      <c r="A6" s="1"/>
      <c r="B6" s="38"/>
      <c r="C6" s="38"/>
      <c r="D6" s="1"/>
      <c r="E6" s="1"/>
      <c r="F6" s="1"/>
      <c r="G6" s="1"/>
      <c r="H6" s="1"/>
      <c r="I6" s="518" t="s">
        <v>26</v>
      </c>
      <c r="J6" s="519"/>
      <c r="K6" s="520" t="str">
        <f>README!I10</f>
        <v>ABND guide</v>
      </c>
    </row>
    <row r="7" spans="1:11" ht="15">
      <c r="A7" s="1"/>
      <c r="B7" s="38"/>
      <c r="C7" s="38"/>
      <c r="D7" s="1"/>
      <c r="E7" s="1"/>
      <c r="F7" s="1"/>
      <c r="G7" s="1"/>
      <c r="H7" s="1"/>
      <c r="I7" s="1"/>
      <c r="J7" s="1"/>
      <c r="K7" s="1"/>
    </row>
    <row r="8" spans="1:12" ht="15">
      <c r="A8" s="313" t="s">
        <v>220</v>
      </c>
      <c r="B8" s="66">
        <v>2011</v>
      </c>
      <c r="C8" s="58">
        <v>2012</v>
      </c>
      <c r="D8" s="58">
        <v>2013</v>
      </c>
      <c r="E8" s="58">
        <v>2014</v>
      </c>
      <c r="F8" s="58">
        <v>2015</v>
      </c>
      <c r="G8" s="58">
        <v>2016</v>
      </c>
      <c r="H8" s="58">
        <v>2017</v>
      </c>
      <c r="I8" s="58">
        <v>2018</v>
      </c>
      <c r="J8" s="58">
        <v>2019</v>
      </c>
      <c r="K8" s="58">
        <v>2020</v>
      </c>
      <c r="L8" s="59" t="s">
        <v>304</v>
      </c>
    </row>
    <row r="9" spans="1:11" ht="15">
      <c r="A9" s="96"/>
      <c r="B9" s="70"/>
      <c r="C9" s="70"/>
      <c r="D9" s="122"/>
      <c r="E9" s="122"/>
      <c r="F9" s="122"/>
      <c r="G9" s="122"/>
      <c r="H9" s="122"/>
      <c r="I9" s="122"/>
      <c r="J9" s="122"/>
      <c r="K9" s="121"/>
    </row>
    <row r="10" spans="1:11" ht="15">
      <c r="A10" s="605" t="s">
        <v>224</v>
      </c>
      <c r="B10" s="606"/>
      <c r="C10" s="606"/>
      <c r="D10" s="606"/>
      <c r="E10" s="606"/>
      <c r="F10" s="606"/>
      <c r="G10" s="606"/>
      <c r="H10" s="606"/>
      <c r="I10" s="606"/>
      <c r="J10" s="606"/>
      <c r="K10" s="606"/>
    </row>
    <row r="11" spans="1:11" ht="15">
      <c r="A11" s="65" t="s">
        <v>121</v>
      </c>
      <c r="B11" s="170">
        <f>POP!H$60</f>
        <v>64082.42121420116</v>
      </c>
      <c r="C11" s="170">
        <f>POP!I$60</f>
        <v>64360.18766125533</v>
      </c>
      <c r="D11" s="161">
        <f>POP!J$60</f>
        <v>64623.04486955623</v>
      </c>
      <c r="E11" s="161">
        <f>POP!K$60</f>
        <v>64764.57009053384</v>
      </c>
      <c r="F11" s="161">
        <f>POP!L$60</f>
        <v>64996.1397053735</v>
      </c>
      <c r="G11" s="161">
        <f>POP!M$60</f>
        <v>65104.80693273373</v>
      </c>
      <c r="H11" s="161">
        <f>POP!N$60</f>
        <v>65297.291041412514</v>
      </c>
      <c r="I11" s="161">
        <f>POP!O$60</f>
        <v>65361.40095234717</v>
      </c>
      <c r="J11" s="161">
        <f>POP!P$60</f>
        <v>65509.81931349555</v>
      </c>
      <c r="K11" s="130">
        <f>POP!Q$60</f>
        <v>65529.90528267191</v>
      </c>
    </row>
    <row r="12" spans="1:11" ht="15">
      <c r="A12" s="65" t="s">
        <v>225</v>
      </c>
      <c r="B12" s="42">
        <f>ECO!H$24*B$11</f>
        <v>4885.683359300005</v>
      </c>
      <c r="C12" s="42">
        <f>ECO!I$24*C$11</f>
        <v>4346.555161585207</v>
      </c>
      <c r="D12" s="43">
        <f>ECO!J$24*D$11</f>
        <v>4134.747038985739</v>
      </c>
      <c r="E12" s="43">
        <f>ECO!K$24*E$11</f>
        <v>3930.7972240980916</v>
      </c>
      <c r="F12" s="43">
        <f>ECO!L$24*F$11</f>
        <v>3745.8401094148085</v>
      </c>
      <c r="G12" s="43">
        <f>ECO!M$24*G$11</f>
        <v>3565.628327954217</v>
      </c>
      <c r="H12" s="43">
        <f>ECO!N$24*H$11</f>
        <v>3400.4864895241462</v>
      </c>
      <c r="I12" s="43">
        <f>ECO!O$24*I$11</f>
        <v>3238.023502096882</v>
      </c>
      <c r="J12" s="43">
        <f>ECO!P$24*J$11</f>
        <v>3088.185166125885</v>
      </c>
      <c r="K12" s="44">
        <f>ECO!Q$24*K$11</f>
        <v>2939.9599939433742</v>
      </c>
    </row>
    <row r="13" spans="1:11" ht="15">
      <c r="A13" s="65"/>
      <c r="B13" s="42"/>
      <c r="C13" s="42"/>
      <c r="D13" s="43"/>
      <c r="E13" s="43"/>
      <c r="F13" s="43"/>
      <c r="G13" s="43"/>
      <c r="H13" s="43"/>
      <c r="I13" s="43"/>
      <c r="J13" s="43"/>
      <c r="K13" s="44"/>
    </row>
    <row r="14" spans="1:12" ht="15">
      <c r="A14" s="65" t="s">
        <v>227</v>
      </c>
      <c r="B14" s="42">
        <f>18%*B$11</f>
        <v>11534.835818556208</v>
      </c>
      <c r="C14" s="42">
        <f aca="true" t="shared" si="0" ref="C14:K14">18%*C$11</f>
        <v>11584.83377902596</v>
      </c>
      <c r="D14" s="43">
        <f t="shared" si="0"/>
        <v>11632.148076520121</v>
      </c>
      <c r="E14" s="43">
        <f t="shared" si="0"/>
        <v>11657.62261629609</v>
      </c>
      <c r="F14" s="43">
        <f t="shared" si="0"/>
        <v>11699.30514696723</v>
      </c>
      <c r="G14" s="43">
        <f t="shared" si="0"/>
        <v>11718.86524789207</v>
      </c>
      <c r="H14" s="43">
        <f t="shared" si="0"/>
        <v>11753.512387454251</v>
      </c>
      <c r="I14" s="43">
        <f t="shared" si="0"/>
        <v>11765.05217142249</v>
      </c>
      <c r="J14" s="43">
        <f t="shared" si="0"/>
        <v>11791.767476429199</v>
      </c>
      <c r="K14" s="44">
        <f t="shared" si="0"/>
        <v>11795.382950880943</v>
      </c>
      <c r="L14" s="336" t="s">
        <v>340</v>
      </c>
    </row>
    <row r="15" spans="1:11" ht="15">
      <c r="A15" s="65" t="s">
        <v>228</v>
      </c>
      <c r="B15" s="67">
        <f>48%*B$12</f>
        <v>2345.128012464002</v>
      </c>
      <c r="C15" s="42">
        <f aca="true" t="shared" si="1" ref="C15:K15">48%*C$12</f>
        <v>2086.3464775608995</v>
      </c>
      <c r="D15" s="43">
        <f t="shared" si="1"/>
        <v>1984.6785787131546</v>
      </c>
      <c r="E15" s="43">
        <f t="shared" si="1"/>
        <v>1886.782667567084</v>
      </c>
      <c r="F15" s="43">
        <f t="shared" si="1"/>
        <v>1798.003252519108</v>
      </c>
      <c r="G15" s="43">
        <f t="shared" si="1"/>
        <v>1711.5015974180242</v>
      </c>
      <c r="H15" s="43">
        <f t="shared" si="1"/>
        <v>1632.2335149715902</v>
      </c>
      <c r="I15" s="43">
        <f t="shared" si="1"/>
        <v>1554.2512810065034</v>
      </c>
      <c r="J15" s="43">
        <f t="shared" si="1"/>
        <v>1482.3288797404248</v>
      </c>
      <c r="K15" s="44">
        <f t="shared" si="1"/>
        <v>1411.1807970928196</v>
      </c>
    </row>
    <row r="16" spans="1:11" ht="15">
      <c r="A16" s="109" t="s">
        <v>156</v>
      </c>
      <c r="B16" s="42">
        <f aca="true" t="shared" si="2" ref="B16:K16">B11-B14</f>
        <v>52547.58539564495</v>
      </c>
      <c r="C16" s="42">
        <f t="shared" si="2"/>
        <v>52775.35388222937</v>
      </c>
      <c r="D16" s="43">
        <f t="shared" si="2"/>
        <v>52990.89679303611</v>
      </c>
      <c r="E16" s="43">
        <f t="shared" si="2"/>
        <v>53106.94747423775</v>
      </c>
      <c r="F16" s="43">
        <f t="shared" si="2"/>
        <v>53296.83455840627</v>
      </c>
      <c r="G16" s="43">
        <f t="shared" si="2"/>
        <v>53385.94168484166</v>
      </c>
      <c r="H16" s="43">
        <f t="shared" si="2"/>
        <v>53543.77865395826</v>
      </c>
      <c r="I16" s="43">
        <f t="shared" si="2"/>
        <v>53596.34878092468</v>
      </c>
      <c r="J16" s="43">
        <f t="shared" si="2"/>
        <v>53718.05183706635</v>
      </c>
      <c r="K16" s="44">
        <f t="shared" si="2"/>
        <v>53734.52233179097</v>
      </c>
    </row>
    <row r="17" spans="1:11" ht="15">
      <c r="A17" s="109" t="s">
        <v>226</v>
      </c>
      <c r="B17" s="42">
        <f aca="true" t="shared" si="3" ref="B17:K17">B12-B15</f>
        <v>2540.5553468360026</v>
      </c>
      <c r="C17" s="42">
        <f t="shared" si="3"/>
        <v>2260.208684024308</v>
      </c>
      <c r="D17" s="43">
        <f t="shared" si="3"/>
        <v>2150.068460272584</v>
      </c>
      <c r="E17" s="43">
        <f t="shared" si="3"/>
        <v>2044.0145565310077</v>
      </c>
      <c r="F17" s="43">
        <f t="shared" si="3"/>
        <v>1947.8368568957005</v>
      </c>
      <c r="G17" s="43">
        <f t="shared" si="3"/>
        <v>1854.126730536193</v>
      </c>
      <c r="H17" s="43">
        <f t="shared" si="3"/>
        <v>1768.252974552556</v>
      </c>
      <c r="I17" s="43">
        <f t="shared" si="3"/>
        <v>1683.7722210903787</v>
      </c>
      <c r="J17" s="43">
        <f t="shared" si="3"/>
        <v>1605.8562863854604</v>
      </c>
      <c r="K17" s="44">
        <f t="shared" si="3"/>
        <v>1528.7791968505546</v>
      </c>
    </row>
    <row r="18" spans="1:11" ht="15">
      <c r="A18" s="64"/>
      <c r="B18" s="42"/>
      <c r="C18" s="42"/>
      <c r="D18" s="43"/>
      <c r="E18" s="43"/>
      <c r="F18" s="43"/>
      <c r="G18" s="43"/>
      <c r="H18" s="43"/>
      <c r="I18" s="43"/>
      <c r="J18" s="43"/>
      <c r="K18" s="44"/>
    </row>
    <row r="19" spans="1:15" ht="15">
      <c r="A19" s="171" t="s">
        <v>122</v>
      </c>
      <c r="B19" s="118">
        <f>B17</f>
        <v>2540.5553468360026</v>
      </c>
      <c r="C19" s="118">
        <f>C17</f>
        <v>2260.208684024308</v>
      </c>
      <c r="D19" s="117">
        <f>D17</f>
        <v>2150.068460272584</v>
      </c>
      <c r="E19" s="117">
        <f aca="true" t="shared" si="4" ref="E19:K19">E17</f>
        <v>2044.0145565310077</v>
      </c>
      <c r="F19" s="117">
        <f t="shared" si="4"/>
        <v>1947.8368568957005</v>
      </c>
      <c r="G19" s="117">
        <f t="shared" si="4"/>
        <v>1854.126730536193</v>
      </c>
      <c r="H19" s="117">
        <f t="shared" si="4"/>
        <v>1768.252974552556</v>
      </c>
      <c r="I19" s="117">
        <f t="shared" si="4"/>
        <v>1683.7722210903787</v>
      </c>
      <c r="J19" s="117">
        <f t="shared" si="4"/>
        <v>1605.8562863854604</v>
      </c>
      <c r="K19" s="116">
        <f t="shared" si="4"/>
        <v>1528.7791968505546</v>
      </c>
      <c r="L19" s="603"/>
      <c r="M19" s="604"/>
      <c r="N19" s="604"/>
      <c r="O19" s="604"/>
    </row>
    <row r="20" spans="1:15" ht="15">
      <c r="A20" s="171" t="s">
        <v>146</v>
      </c>
      <c r="B20" s="172">
        <v>0</v>
      </c>
      <c r="C20" s="172">
        <v>0</v>
      </c>
      <c r="D20" s="173">
        <v>0</v>
      </c>
      <c r="E20" s="173">
        <v>0.25</v>
      </c>
      <c r="F20" s="173">
        <v>0.5</v>
      </c>
      <c r="G20" s="173">
        <v>0.75</v>
      </c>
      <c r="H20" s="173">
        <v>1</v>
      </c>
      <c r="I20" s="173">
        <v>1</v>
      </c>
      <c r="J20" s="173">
        <v>1</v>
      </c>
      <c r="K20" s="174">
        <v>1</v>
      </c>
      <c r="L20" s="603"/>
      <c r="M20" s="604"/>
      <c r="N20" s="604"/>
      <c r="O20" s="604"/>
    </row>
    <row r="21" spans="1:15" ht="15">
      <c r="A21" s="171" t="s">
        <v>147</v>
      </c>
      <c r="B21" s="126">
        <f aca="true" t="shared" si="5" ref="B21:K21">B19*B20</f>
        <v>0</v>
      </c>
      <c r="C21" s="118">
        <f t="shared" si="5"/>
        <v>0</v>
      </c>
      <c r="D21" s="117">
        <f t="shared" si="5"/>
        <v>0</v>
      </c>
      <c r="E21" s="117">
        <f t="shared" si="5"/>
        <v>511.0036391327519</v>
      </c>
      <c r="F21" s="117">
        <f t="shared" si="5"/>
        <v>973.9184284478503</v>
      </c>
      <c r="G21" s="117">
        <f t="shared" si="5"/>
        <v>1390.5950479021449</v>
      </c>
      <c r="H21" s="117">
        <f t="shared" si="5"/>
        <v>1768.252974552556</v>
      </c>
      <c r="I21" s="117">
        <f t="shared" si="5"/>
        <v>1683.7722210903787</v>
      </c>
      <c r="J21" s="117">
        <f t="shared" si="5"/>
        <v>1605.8562863854604</v>
      </c>
      <c r="K21" s="116">
        <f t="shared" si="5"/>
        <v>1528.7791968505546</v>
      </c>
      <c r="L21" s="603"/>
      <c r="M21" s="604"/>
      <c r="N21" s="604"/>
      <c r="O21" s="604"/>
    </row>
    <row r="22" spans="1:11" ht="15">
      <c r="A22" s="80"/>
      <c r="B22" s="175"/>
      <c r="C22" s="176"/>
      <c r="D22" s="120"/>
      <c r="E22" s="120"/>
      <c r="F22" s="120"/>
      <c r="G22" s="120"/>
      <c r="H22" s="120"/>
      <c r="I22" s="120"/>
      <c r="J22" s="120"/>
      <c r="K22" s="177"/>
    </row>
    <row r="23" spans="1:12" ht="15">
      <c r="A23" s="171" t="s">
        <v>180</v>
      </c>
      <c r="B23" s="178">
        <v>2500</v>
      </c>
      <c r="C23" s="118">
        <f>B23*(1+ECO!I12)</f>
        <v>2776.2666135916324</v>
      </c>
      <c r="D23" s="117">
        <f>C23*(1+ECO!J12)</f>
        <v>3222.6774143612206</v>
      </c>
      <c r="E23" s="117">
        <f>D23*(1+ECO!K12)</f>
        <v>3416.038059222894</v>
      </c>
      <c r="F23" s="117">
        <f>E23*(1+ECO!L12)</f>
        <v>3621.0003427762676</v>
      </c>
      <c r="G23" s="117">
        <f>F23*(1+ECO!M12)</f>
        <v>3838.260363342844</v>
      </c>
      <c r="H23" s="117">
        <f>G23*(1+ECO!N12)</f>
        <v>4068.5559851434145</v>
      </c>
      <c r="I23" s="117">
        <f>H23*(1+ECO!O12)</f>
        <v>4312.66934425202</v>
      </c>
      <c r="J23" s="117">
        <f>I23*(1+ECO!P12)</f>
        <v>4571.429504907142</v>
      </c>
      <c r="K23" s="116">
        <f>J23*(1+ECO!Q12)</f>
        <v>4845.71527520157</v>
      </c>
      <c r="L23" s="77" t="s">
        <v>253</v>
      </c>
    </row>
    <row r="24" spans="1:11" ht="15">
      <c r="A24" s="171" t="s">
        <v>187</v>
      </c>
      <c r="B24" s="126">
        <f>B23*B21/1000</f>
        <v>0</v>
      </c>
      <c r="C24" s="118">
        <f>C23*C21/1000</f>
        <v>0</v>
      </c>
      <c r="D24" s="117">
        <f>D23*D21/1000</f>
        <v>0</v>
      </c>
      <c r="E24" s="117">
        <f aca="true" t="shared" si="6" ref="E24:J24">E23*E21/1000</f>
        <v>1745.607879678882</v>
      </c>
      <c r="F24" s="117">
        <f t="shared" si="6"/>
        <v>3526.5589632457895</v>
      </c>
      <c r="G24" s="117">
        <f t="shared" si="6"/>
        <v>5337.465853823646</v>
      </c>
      <c r="H24" s="117">
        <f t="shared" si="6"/>
        <v>7194.236222863447</v>
      </c>
      <c r="I24" s="117">
        <f t="shared" si="6"/>
        <v>7261.55284059961</v>
      </c>
      <c r="J24" s="117">
        <f t="shared" si="6"/>
        <v>7341.058808223106</v>
      </c>
      <c r="K24" s="113">
        <f>K23*K21/1000</f>
        <v>7408.028706589121</v>
      </c>
    </row>
    <row r="25" spans="1:11" ht="15">
      <c r="A25" s="171"/>
      <c r="B25" s="179"/>
      <c r="C25" s="180"/>
      <c r="D25" s="181"/>
      <c r="E25" s="182"/>
      <c r="F25" s="182"/>
      <c r="G25" s="182"/>
      <c r="H25" s="182"/>
      <c r="I25" s="182"/>
      <c r="J25" s="182"/>
      <c r="K25" s="183"/>
    </row>
    <row r="26" spans="1:12" ht="15">
      <c r="A26" s="184" t="s">
        <v>197</v>
      </c>
      <c r="B26" s="178">
        <f>15%*B24</f>
        <v>0</v>
      </c>
      <c r="C26" s="118">
        <f>15%*C24</f>
        <v>0</v>
      </c>
      <c r="D26" s="117">
        <f>15%*D24</f>
        <v>0</v>
      </c>
      <c r="E26" s="117">
        <f aca="true" t="shared" si="7" ref="E26:J26">15%*E24</f>
        <v>261.8411819518323</v>
      </c>
      <c r="F26" s="117">
        <f t="shared" si="7"/>
        <v>528.9838444868684</v>
      </c>
      <c r="G26" s="117">
        <f t="shared" si="7"/>
        <v>800.6198780735469</v>
      </c>
      <c r="H26" s="117">
        <f t="shared" si="7"/>
        <v>1079.135433429517</v>
      </c>
      <c r="I26" s="117">
        <f t="shared" si="7"/>
        <v>1089.2329260899414</v>
      </c>
      <c r="J26" s="117">
        <f t="shared" si="7"/>
        <v>1101.158821233466</v>
      </c>
      <c r="K26" s="116">
        <f>15%*K24</f>
        <v>1111.204305988368</v>
      </c>
      <c r="L26" s="77" t="s">
        <v>254</v>
      </c>
    </row>
    <row r="27" spans="1:11" ht="15">
      <c r="A27" s="80"/>
      <c r="B27" s="67"/>
      <c r="C27" s="42"/>
      <c r="D27" s="43"/>
      <c r="E27" s="111"/>
      <c r="F27" s="111"/>
      <c r="G27" s="111"/>
      <c r="H27" s="111"/>
      <c r="I27" s="111"/>
      <c r="J27" s="111"/>
      <c r="K27" s="110"/>
    </row>
    <row r="28" spans="1:11" ht="15">
      <c r="A28" s="497" t="s">
        <v>189</v>
      </c>
      <c r="B28" s="498">
        <f>B24+B26</f>
        <v>0</v>
      </c>
      <c r="C28" s="499">
        <f aca="true" t="shared" si="8" ref="C28:K28">C24+C26</f>
        <v>0</v>
      </c>
      <c r="D28" s="500">
        <f t="shared" si="8"/>
        <v>0</v>
      </c>
      <c r="E28" s="500">
        <f t="shared" si="8"/>
        <v>2007.4490616307144</v>
      </c>
      <c r="F28" s="500">
        <f t="shared" si="8"/>
        <v>4055.542807732658</v>
      </c>
      <c r="G28" s="500">
        <f t="shared" si="8"/>
        <v>6138.085731897193</v>
      </c>
      <c r="H28" s="500">
        <f t="shared" si="8"/>
        <v>8273.371656292964</v>
      </c>
      <c r="I28" s="500">
        <f t="shared" si="8"/>
        <v>8350.78576668955</v>
      </c>
      <c r="J28" s="500">
        <f t="shared" si="8"/>
        <v>8442.217629456572</v>
      </c>
      <c r="K28" s="501">
        <f t="shared" si="8"/>
        <v>8519.23301257749</v>
      </c>
    </row>
    <row r="29" spans="1:11" ht="15">
      <c r="A29" s="502" t="s">
        <v>120</v>
      </c>
      <c r="B29" s="503">
        <f>B28/(ECO!H28*1000)</f>
        <v>0</v>
      </c>
      <c r="C29" s="504">
        <f>C28/(ECO!I28*1000)</f>
        <v>0</v>
      </c>
      <c r="D29" s="504">
        <f>D28/(ECO!J28*1000)</f>
        <v>0</v>
      </c>
      <c r="E29" s="504">
        <f>E28/(ECO!K28*1000)</f>
        <v>0.00015332805257591665</v>
      </c>
      <c r="F29" s="504">
        <f>F28/(ECO!L28*1000)</f>
        <v>0.00028575112243467237</v>
      </c>
      <c r="G29" s="504">
        <f>G28/(ECO!M28*1000)</f>
        <v>0.0003987082586213249</v>
      </c>
      <c r="H29" s="504">
        <f>H28/(ECO!N28*1000)</f>
        <v>0.0004952282123317816</v>
      </c>
      <c r="I29" s="504">
        <f>I28/(ECO!O28*1000)</f>
        <v>0.00046047488782506195</v>
      </c>
      <c r="J29" s="504">
        <f>J28/(ECO!P28*1000)</f>
        <v>0.0004288517883073375</v>
      </c>
      <c r="K29" s="505">
        <f>K28/(ECO!Q28*1000)</f>
        <v>0.00039848268327304835</v>
      </c>
    </row>
    <row r="30" spans="1:12" ht="15">
      <c r="A30" s="506" t="s">
        <v>123</v>
      </c>
      <c r="B30" s="507">
        <f>B28/('GGO (SQ)'!H11*1000)</f>
        <v>0</v>
      </c>
      <c r="C30" s="508">
        <f>C28/('GGO (SQ)'!I11*1000)</f>
        <v>0</v>
      </c>
      <c r="D30" s="508">
        <f>D28/('GGO (SQ)'!J11*1000)</f>
        <v>0</v>
      </c>
      <c r="E30" s="508">
        <f>E28/('GGO (SQ)'!K11*1000)</f>
        <v>0.0007770052708539628</v>
      </c>
      <c r="F30" s="508">
        <f>F28/('GGO (SQ)'!L11*1000)</f>
        <v>0.0014579085022373142</v>
      </c>
      <c r="G30" s="508">
        <f>G28/('GGO (SQ)'!M11*1000)</f>
        <v>0.0020489202867971642</v>
      </c>
      <c r="H30" s="508">
        <f>H28/('GGO (SQ)'!N11*1000)</f>
        <v>0.0025638506346873638</v>
      </c>
      <c r="I30" s="508">
        <f>I28/('GGO (SQ)'!O11*1000)</f>
        <v>0.0024019315369217067</v>
      </c>
      <c r="J30" s="508">
        <f>J28/('GGO (SQ)'!P11*1000)</f>
        <v>0.002253285390497096</v>
      </c>
      <c r="K30" s="509">
        <f>K28/('GGO (SQ)'!Q11*1000)</f>
        <v>0.0021095392724300465</v>
      </c>
      <c r="L30" s="264"/>
    </row>
    <row r="31" spans="1:11" ht="15">
      <c r="A31" s="119"/>
      <c r="B31" s="108"/>
      <c r="C31" s="108"/>
      <c r="D31" s="108"/>
      <c r="E31" s="108"/>
      <c r="F31" s="108"/>
      <c r="G31" s="108"/>
      <c r="H31" s="108"/>
      <c r="I31" s="108"/>
      <c r="J31" s="108"/>
      <c r="K31" s="99"/>
    </row>
    <row r="32" spans="1:11" ht="15">
      <c r="A32" s="605" t="s">
        <v>124</v>
      </c>
      <c r="B32" s="605"/>
      <c r="C32" s="605"/>
      <c r="D32" s="606"/>
      <c r="E32" s="606"/>
      <c r="F32" s="606"/>
      <c r="G32" s="606"/>
      <c r="H32" s="606"/>
      <c r="I32" s="606"/>
      <c r="J32" s="606"/>
      <c r="K32" s="605"/>
    </row>
    <row r="33" spans="1:11" ht="15">
      <c r="A33" s="65" t="s">
        <v>121</v>
      </c>
      <c r="B33" s="170">
        <f>POP!H$60</f>
        <v>64082.42121420116</v>
      </c>
      <c r="C33" s="170">
        <f>POP!I$60</f>
        <v>64360.18766125533</v>
      </c>
      <c r="D33" s="161">
        <f>POP!J$60</f>
        <v>64623.04486955623</v>
      </c>
      <c r="E33" s="161">
        <f>POP!K$60</f>
        <v>64764.57009053384</v>
      </c>
      <c r="F33" s="161">
        <f>POP!L$60</f>
        <v>64996.1397053735</v>
      </c>
      <c r="G33" s="161">
        <f>POP!M$60</f>
        <v>65104.80693273373</v>
      </c>
      <c r="H33" s="161">
        <f>POP!N$60</f>
        <v>65297.291041412514</v>
      </c>
      <c r="I33" s="161">
        <f>POP!O$60</f>
        <v>65361.40095234717</v>
      </c>
      <c r="J33" s="161">
        <f>POP!P$60</f>
        <v>65509.81931349555</v>
      </c>
      <c r="K33" s="130">
        <f>POP!Q$60</f>
        <v>65529.90528267191</v>
      </c>
    </row>
    <row r="34" spans="1:11" ht="15">
      <c r="A34" s="65" t="s">
        <v>225</v>
      </c>
      <c r="B34" s="42">
        <f>ECO!H$24*B$33</f>
        <v>4885.683359300005</v>
      </c>
      <c r="C34" s="42">
        <f>ECO!I$24*C$33</f>
        <v>4346.555161585207</v>
      </c>
      <c r="D34" s="43">
        <f>ECO!J$24*D$33</f>
        <v>4134.747038985739</v>
      </c>
      <c r="E34" s="43">
        <f>ECO!K$24*E$33</f>
        <v>3930.7972240980916</v>
      </c>
      <c r="F34" s="43">
        <f>ECO!L$24*F$33</f>
        <v>3745.8401094148085</v>
      </c>
      <c r="G34" s="43">
        <f>ECO!M$24*G$33</f>
        <v>3565.628327954217</v>
      </c>
      <c r="H34" s="43">
        <f>ECO!N$24*H$33</f>
        <v>3400.4864895241462</v>
      </c>
      <c r="I34" s="43">
        <f>ECO!O$24*I$33</f>
        <v>3238.023502096882</v>
      </c>
      <c r="J34" s="43">
        <f>ECO!P$24*J$33</f>
        <v>3088.185166125885</v>
      </c>
      <c r="K34" s="44">
        <f>ECO!Q$24*K$33</f>
        <v>2939.9599939433742</v>
      </c>
    </row>
    <row r="35" spans="1:11" ht="15">
      <c r="A35" s="65"/>
      <c r="B35" s="42"/>
      <c r="C35" s="42"/>
      <c r="D35" s="43"/>
      <c r="E35" s="43"/>
      <c r="F35" s="43"/>
      <c r="G35" s="43"/>
      <c r="H35" s="43"/>
      <c r="I35" s="43"/>
      <c r="J35" s="43"/>
      <c r="K35" s="44"/>
    </row>
    <row r="36" spans="1:12" ht="15">
      <c r="A36" s="65" t="s">
        <v>227</v>
      </c>
      <c r="B36" s="42">
        <f>18%*B$33</f>
        <v>11534.835818556208</v>
      </c>
      <c r="C36" s="42">
        <f aca="true" t="shared" si="9" ref="C36:K36">18%*C$33</f>
        <v>11584.83377902596</v>
      </c>
      <c r="D36" s="43">
        <f t="shared" si="9"/>
        <v>11632.148076520121</v>
      </c>
      <c r="E36" s="43">
        <f t="shared" si="9"/>
        <v>11657.62261629609</v>
      </c>
      <c r="F36" s="43">
        <f t="shared" si="9"/>
        <v>11699.30514696723</v>
      </c>
      <c r="G36" s="43">
        <f t="shared" si="9"/>
        <v>11718.86524789207</v>
      </c>
      <c r="H36" s="43">
        <f t="shared" si="9"/>
        <v>11753.512387454251</v>
      </c>
      <c r="I36" s="43">
        <f t="shared" si="9"/>
        <v>11765.05217142249</v>
      </c>
      <c r="J36" s="43">
        <f t="shared" si="9"/>
        <v>11791.767476429199</v>
      </c>
      <c r="K36" s="44">
        <f t="shared" si="9"/>
        <v>11795.382950880943</v>
      </c>
      <c r="L36" s="77" t="s">
        <v>313</v>
      </c>
    </row>
    <row r="37" spans="1:11" ht="15">
      <c r="A37" s="65"/>
      <c r="B37" s="67"/>
      <c r="C37" s="43"/>
      <c r="D37" s="43"/>
      <c r="E37" s="43"/>
      <c r="F37" s="43"/>
      <c r="G37" s="43"/>
      <c r="H37" s="43"/>
      <c r="I37" s="43"/>
      <c r="J37" s="43"/>
      <c r="K37" s="44"/>
    </row>
    <row r="38" spans="1:12" ht="15">
      <c r="A38" s="65" t="s">
        <v>155</v>
      </c>
      <c r="B38" s="67">
        <f aca="true" t="shared" si="10" ref="B38:K38">62.3%*B$33</f>
        <v>39923.34841644732</v>
      </c>
      <c r="C38" s="43">
        <f t="shared" si="10"/>
        <v>40096.396912962075</v>
      </c>
      <c r="D38" s="43">
        <f t="shared" si="10"/>
        <v>40260.15695373353</v>
      </c>
      <c r="E38" s="43">
        <f t="shared" si="10"/>
        <v>40348.32716640258</v>
      </c>
      <c r="F38" s="43">
        <f t="shared" si="10"/>
        <v>40492.59503644769</v>
      </c>
      <c r="G38" s="43">
        <f t="shared" si="10"/>
        <v>40560.294719093115</v>
      </c>
      <c r="H38" s="43">
        <f t="shared" si="10"/>
        <v>40680.2123188</v>
      </c>
      <c r="I38" s="43">
        <f t="shared" si="10"/>
        <v>40720.152793312285</v>
      </c>
      <c r="J38" s="43">
        <f t="shared" si="10"/>
        <v>40812.61743230773</v>
      </c>
      <c r="K38" s="44">
        <f t="shared" si="10"/>
        <v>40825.130991104605</v>
      </c>
      <c r="L38" s="77" t="s">
        <v>273</v>
      </c>
    </row>
    <row r="39" spans="1:11" ht="15">
      <c r="A39" s="65"/>
      <c r="B39" s="115"/>
      <c r="C39" s="114"/>
      <c r="D39" s="114"/>
      <c r="E39" s="114"/>
      <c r="F39" s="114"/>
      <c r="G39" s="114"/>
      <c r="H39" s="114"/>
      <c r="I39" s="114"/>
      <c r="J39" s="114"/>
      <c r="K39" s="113"/>
    </row>
    <row r="40" spans="1:11" ht="15">
      <c r="A40" s="64"/>
      <c r="B40" s="112"/>
      <c r="C40" s="111"/>
      <c r="D40" s="111"/>
      <c r="E40" s="111"/>
      <c r="F40" s="111"/>
      <c r="G40" s="111"/>
      <c r="H40" s="111"/>
      <c r="I40" s="111"/>
      <c r="J40" s="111"/>
      <c r="K40" s="110"/>
    </row>
    <row r="41" spans="1:12" ht="15">
      <c r="A41" s="95" t="s">
        <v>122</v>
      </c>
      <c r="B41" s="115">
        <f aca="true" t="shared" si="11" ref="B41:K41">B38-B36</f>
        <v>28388.51259789111</v>
      </c>
      <c r="C41" s="114">
        <f t="shared" si="11"/>
        <v>28511.563133936113</v>
      </c>
      <c r="D41" s="114">
        <f t="shared" si="11"/>
        <v>28628.00887721341</v>
      </c>
      <c r="E41" s="114">
        <f t="shared" si="11"/>
        <v>28690.704550106493</v>
      </c>
      <c r="F41" s="114">
        <f t="shared" si="11"/>
        <v>28793.28988948046</v>
      </c>
      <c r="G41" s="114">
        <f t="shared" si="11"/>
        <v>28841.429471201045</v>
      </c>
      <c r="H41" s="114">
        <f t="shared" si="11"/>
        <v>28926.699931345745</v>
      </c>
      <c r="I41" s="114">
        <f t="shared" si="11"/>
        <v>28955.100621889796</v>
      </c>
      <c r="J41" s="114">
        <f t="shared" si="11"/>
        <v>29020.84995587853</v>
      </c>
      <c r="K41" s="113">
        <f t="shared" si="11"/>
        <v>29029.74804022366</v>
      </c>
      <c r="L41" s="77" t="s">
        <v>314</v>
      </c>
    </row>
    <row r="42" spans="1:13" ht="15">
      <c r="A42" s="95" t="s">
        <v>146</v>
      </c>
      <c r="B42" s="186">
        <v>0</v>
      </c>
      <c r="C42" s="187">
        <v>0</v>
      </c>
      <c r="D42" s="188">
        <v>0</v>
      </c>
      <c r="E42" s="188">
        <v>0.25</v>
      </c>
      <c r="F42" s="188">
        <v>0.5</v>
      </c>
      <c r="G42" s="188">
        <v>0.75</v>
      </c>
      <c r="H42" s="188">
        <v>1</v>
      </c>
      <c r="I42" s="188">
        <v>1</v>
      </c>
      <c r="J42" s="188">
        <v>1</v>
      </c>
      <c r="K42" s="189">
        <v>1</v>
      </c>
      <c r="L42" s="203"/>
      <c r="M42" s="117"/>
    </row>
    <row r="43" spans="1:11" ht="15">
      <c r="A43" s="95" t="s">
        <v>147</v>
      </c>
      <c r="B43" s="185">
        <f aca="true" t="shared" si="12" ref="B43:K43">B41*B42</f>
        <v>0</v>
      </c>
      <c r="C43" s="185">
        <f t="shared" si="12"/>
        <v>0</v>
      </c>
      <c r="D43" s="114">
        <f t="shared" si="12"/>
        <v>0</v>
      </c>
      <c r="E43" s="114">
        <f t="shared" si="12"/>
        <v>7172.676137526623</v>
      </c>
      <c r="F43" s="114">
        <f t="shared" si="12"/>
        <v>14396.64494474023</v>
      </c>
      <c r="G43" s="114">
        <f t="shared" si="12"/>
        <v>21631.072103400784</v>
      </c>
      <c r="H43" s="114">
        <f t="shared" si="12"/>
        <v>28926.699931345745</v>
      </c>
      <c r="I43" s="114">
        <f t="shared" si="12"/>
        <v>28955.100621889796</v>
      </c>
      <c r="J43" s="114">
        <f t="shared" si="12"/>
        <v>29020.84995587853</v>
      </c>
      <c r="K43" s="113">
        <f t="shared" si="12"/>
        <v>29029.74804022366</v>
      </c>
    </row>
    <row r="44" spans="1:11" ht="15">
      <c r="A44" s="190"/>
      <c r="B44" s="191"/>
      <c r="C44" s="191"/>
      <c r="D44" s="192"/>
      <c r="E44" s="192"/>
      <c r="F44" s="192"/>
      <c r="G44" s="192"/>
      <c r="H44" s="192"/>
      <c r="I44" s="192"/>
      <c r="J44" s="192"/>
      <c r="K44" s="193"/>
    </row>
    <row r="45" spans="1:11" ht="15">
      <c r="A45" s="95" t="s">
        <v>180</v>
      </c>
      <c r="B45" s="115">
        <f>B23</f>
        <v>2500</v>
      </c>
      <c r="C45" s="185">
        <f>B45*(1+ECO!I12)</f>
        <v>2776.2666135916324</v>
      </c>
      <c r="D45" s="114">
        <f>C45*(1+ECO!J12)</f>
        <v>3222.6774143612206</v>
      </c>
      <c r="E45" s="114">
        <f>D45*(1+ECO!K12)</f>
        <v>3416.038059222894</v>
      </c>
      <c r="F45" s="114">
        <f>E45*(1+ECO!L12)</f>
        <v>3621.0003427762676</v>
      </c>
      <c r="G45" s="114">
        <f>F45*(1+ECO!M12)</f>
        <v>3838.260363342844</v>
      </c>
      <c r="H45" s="114">
        <f>G45*(1+ECO!N12)</f>
        <v>4068.5559851434145</v>
      </c>
      <c r="I45" s="114">
        <f>H45*(1+ECO!O12)</f>
        <v>4312.66934425202</v>
      </c>
      <c r="J45" s="114">
        <f>I45*(1+ECO!P12)</f>
        <v>4571.429504907142</v>
      </c>
      <c r="K45" s="113">
        <f>J45*(1+ECO!Q12)</f>
        <v>4845.71527520157</v>
      </c>
    </row>
    <row r="46" spans="1:11" ht="15">
      <c r="A46" s="95" t="s">
        <v>187</v>
      </c>
      <c r="B46" s="115">
        <f>B43*B45/1000</f>
        <v>0</v>
      </c>
      <c r="C46" s="185">
        <f aca="true" t="shared" si="13" ref="C46:K46">C43*C45/1000</f>
        <v>0</v>
      </c>
      <c r="D46" s="114">
        <f t="shared" si="13"/>
        <v>0</v>
      </c>
      <c r="E46" s="114">
        <f t="shared" si="13"/>
        <v>24502.134672270808</v>
      </c>
      <c r="F46" s="114">
        <f t="shared" si="13"/>
        <v>52130.256279732595</v>
      </c>
      <c r="G46" s="114">
        <f t="shared" si="13"/>
        <v>83025.68667109434</v>
      </c>
      <c r="H46" s="114">
        <f t="shared" si="13"/>
        <v>117689.89813612433</v>
      </c>
      <c r="I46" s="114">
        <f t="shared" si="13"/>
        <v>124873.77481175672</v>
      </c>
      <c r="J46" s="114">
        <f t="shared" si="13"/>
        <v>132666.76974578624</v>
      </c>
      <c r="K46" s="113">
        <f t="shared" si="13"/>
        <v>140669.89351376466</v>
      </c>
    </row>
    <row r="47" spans="1:11" ht="15">
      <c r="A47" s="95"/>
      <c r="B47" s="194"/>
      <c r="C47" s="192"/>
      <c r="D47" s="192"/>
      <c r="E47" s="192"/>
      <c r="F47" s="192"/>
      <c r="G47" s="192"/>
      <c r="H47" s="192"/>
      <c r="I47" s="192"/>
      <c r="J47" s="192"/>
      <c r="K47" s="193"/>
    </row>
    <row r="48" spans="1:12" ht="15">
      <c r="A48" s="184" t="s">
        <v>229</v>
      </c>
      <c r="B48" s="178">
        <f>15%*B46</f>
        <v>0</v>
      </c>
      <c r="C48" s="195">
        <f aca="true" t="shared" si="14" ref="C48:D48">15%*C46</f>
        <v>0</v>
      </c>
      <c r="D48" s="97">
        <f t="shared" si="14"/>
        <v>0</v>
      </c>
      <c r="E48" s="97">
        <f>5%*E46</f>
        <v>1225.1067336135404</v>
      </c>
      <c r="F48" s="97">
        <f aca="true" t="shared" si="15" ref="F48:K48">5%*F46</f>
        <v>2606.51281398663</v>
      </c>
      <c r="G48" s="97">
        <f t="shared" si="15"/>
        <v>4151.284333554718</v>
      </c>
      <c r="H48" s="97">
        <f t="shared" si="15"/>
        <v>5884.494906806217</v>
      </c>
      <c r="I48" s="97">
        <f t="shared" si="15"/>
        <v>6243.688740587837</v>
      </c>
      <c r="J48" s="97">
        <f t="shared" si="15"/>
        <v>6633.338487289312</v>
      </c>
      <c r="K48" s="196">
        <f t="shared" si="15"/>
        <v>7033.494675688234</v>
      </c>
      <c r="L48" s="77" t="s">
        <v>256</v>
      </c>
    </row>
    <row r="49" spans="1:11" ht="15">
      <c r="A49" s="65"/>
      <c r="B49" s="67"/>
      <c r="C49" s="43"/>
      <c r="D49" s="43"/>
      <c r="E49" s="43"/>
      <c r="F49" s="43"/>
      <c r="G49" s="43"/>
      <c r="H49" s="43"/>
      <c r="I49" s="43"/>
      <c r="J49" s="43"/>
      <c r="K49" s="44"/>
    </row>
    <row r="50" spans="1:11" ht="15">
      <c r="A50" s="502" t="s">
        <v>190</v>
      </c>
      <c r="B50" s="499">
        <f>B46+B48</f>
        <v>0</v>
      </c>
      <c r="C50" s="499">
        <f aca="true" t="shared" si="16" ref="C50:K50">C46+C48</f>
        <v>0</v>
      </c>
      <c r="D50" s="500">
        <f t="shared" si="16"/>
        <v>0</v>
      </c>
      <c r="E50" s="500">
        <f t="shared" si="16"/>
        <v>25727.24140588435</v>
      </c>
      <c r="F50" s="500">
        <f t="shared" si="16"/>
        <v>54736.769093719224</v>
      </c>
      <c r="G50" s="500">
        <f t="shared" si="16"/>
        <v>87176.97100464907</v>
      </c>
      <c r="H50" s="500">
        <f t="shared" si="16"/>
        <v>123574.39304293055</v>
      </c>
      <c r="I50" s="500">
        <f t="shared" si="16"/>
        <v>131117.46355234456</v>
      </c>
      <c r="J50" s="500">
        <f t="shared" si="16"/>
        <v>139300.10823307556</v>
      </c>
      <c r="K50" s="501">
        <f t="shared" si="16"/>
        <v>147703.3881894529</v>
      </c>
    </row>
    <row r="51" spans="1:11" ht="15">
      <c r="A51" s="510" t="s">
        <v>120</v>
      </c>
      <c r="B51" s="503">
        <f>B50/(ECO!H28*1000)</f>
        <v>0</v>
      </c>
      <c r="C51" s="504">
        <f>C50/(ECO!I28*1000)</f>
        <v>0</v>
      </c>
      <c r="D51" s="504">
        <f>D50/(ECO!J28*1000)</f>
        <v>0</v>
      </c>
      <c r="E51" s="504">
        <f>E50/(ECO!K28*1000)</f>
        <v>0.001965035077757004</v>
      </c>
      <c r="F51" s="504">
        <f>F50/(ECO!L28*1000)</f>
        <v>0.0038567200368727597</v>
      </c>
      <c r="G51" s="504">
        <f>G50/(ECO!M28*1000)</f>
        <v>0.005662706553693266</v>
      </c>
      <c r="H51" s="504">
        <f>H50/(ECO!N28*1000)</f>
        <v>0.0073969269481671185</v>
      </c>
      <c r="I51" s="504">
        <f>I50/(ECO!O28*1000)</f>
        <v>0.007230014157710468</v>
      </c>
      <c r="J51" s="504">
        <f>J50/(ECO!P28*1000)</f>
        <v>0.007076233182939817</v>
      </c>
      <c r="K51" s="505">
        <f>K50/(ECO!Q28*1000)</f>
        <v>0.006908748988008563</v>
      </c>
    </row>
    <row r="52" spans="1:11" ht="15">
      <c r="A52" s="511" t="s">
        <v>123</v>
      </c>
      <c r="B52" s="507">
        <f>B50/('GGO (SQ)'!H11*1000)</f>
        <v>0</v>
      </c>
      <c r="C52" s="508">
        <f>C50/('GGO (SQ)'!I11*1000)</f>
        <v>0</v>
      </c>
      <c r="D52" s="508">
        <f>D50/('GGO (SQ)'!J11*1000)</f>
        <v>0</v>
      </c>
      <c r="E52" s="508">
        <f>E50/('GGO (SQ)'!K11*1000)</f>
        <v>0.00995801216528293</v>
      </c>
      <c r="F52" s="508">
        <f>F50/('GGO (SQ)'!L11*1000)</f>
        <v>0.01967707032818834</v>
      </c>
      <c r="G52" s="508">
        <f>G50/('GGO (SQ)'!M11*1000)</f>
        <v>0.029100060219873335</v>
      </c>
      <c r="H52" s="508">
        <f>H50/('GGO (SQ)'!N11*1000)</f>
        <v>0.03829470005656473</v>
      </c>
      <c r="I52" s="508">
        <f>I50/('GGO (SQ)'!O11*1000)</f>
        <v>0.03771323795705594</v>
      </c>
      <c r="J52" s="508">
        <f>J50/('GGO (SQ)'!P11*1000)</f>
        <v>0.03718014774708646</v>
      </c>
      <c r="K52" s="509">
        <f>K50/('GGO (SQ)'!Q11*1000)</f>
        <v>0.03657443077288961</v>
      </c>
    </row>
    <row r="53" spans="1:11" ht="15">
      <c r="A53" s="63"/>
      <c r="B53" s="108"/>
      <c r="C53" s="108"/>
      <c r="D53" s="108"/>
      <c r="E53" s="108"/>
      <c r="F53" s="108"/>
      <c r="G53" s="108"/>
      <c r="H53" s="108"/>
      <c r="I53" s="108"/>
      <c r="J53" s="108"/>
      <c r="K53" s="100"/>
    </row>
    <row r="54" spans="1:11" ht="15">
      <c r="A54" s="598" t="s">
        <v>262</v>
      </c>
      <c r="B54" s="599"/>
      <c r="C54" s="599"/>
      <c r="D54" s="600"/>
      <c r="E54" s="600"/>
      <c r="F54" s="600"/>
      <c r="G54" s="600"/>
      <c r="H54" s="600"/>
      <c r="I54" s="600"/>
      <c r="J54" s="600"/>
      <c r="K54" s="601"/>
    </row>
    <row r="55" spans="1:11" ht="15">
      <c r="A55" s="65" t="s">
        <v>121</v>
      </c>
      <c r="B55" s="170">
        <f>POP!H$60</f>
        <v>64082.42121420116</v>
      </c>
      <c r="C55" s="170">
        <f>POP!I$60</f>
        <v>64360.18766125533</v>
      </c>
      <c r="D55" s="161">
        <f>POP!J$60</f>
        <v>64623.04486955623</v>
      </c>
      <c r="E55" s="161">
        <f>POP!K$60</f>
        <v>64764.57009053384</v>
      </c>
      <c r="F55" s="161">
        <f>POP!L$60</f>
        <v>64996.1397053735</v>
      </c>
      <c r="G55" s="161">
        <f>POP!M$60</f>
        <v>65104.80693273373</v>
      </c>
      <c r="H55" s="161">
        <f>POP!N$60</f>
        <v>65297.291041412514</v>
      </c>
      <c r="I55" s="161">
        <f>POP!O$60</f>
        <v>65361.40095234717</v>
      </c>
      <c r="J55" s="161">
        <f>POP!P$60</f>
        <v>65509.81931349555</v>
      </c>
      <c r="K55" s="130">
        <f>POP!Q$60</f>
        <v>65529.90528267191</v>
      </c>
    </row>
    <row r="56" spans="1:11" ht="15">
      <c r="A56" s="65" t="s">
        <v>225</v>
      </c>
      <c r="B56" s="42">
        <f>ECO!H$24*B$55</f>
        <v>4885.683359300005</v>
      </c>
      <c r="C56" s="42">
        <f>ECO!I$24*C$55</f>
        <v>4346.555161585207</v>
      </c>
      <c r="D56" s="43">
        <f>ECO!J$24*D$55</f>
        <v>4134.747038985739</v>
      </c>
      <c r="E56" s="43">
        <f>ECO!K$24*E$55</f>
        <v>3930.7972240980916</v>
      </c>
      <c r="F56" s="43">
        <f>ECO!L$24*F$55</f>
        <v>3745.8401094148085</v>
      </c>
      <c r="G56" s="43">
        <f>ECO!M$24*G$55</f>
        <v>3565.628327954217</v>
      </c>
      <c r="H56" s="43">
        <f>ECO!N$24*H$55</f>
        <v>3400.4864895241462</v>
      </c>
      <c r="I56" s="43">
        <f>ECO!O$24*I$55</f>
        <v>3238.023502096882</v>
      </c>
      <c r="J56" s="43">
        <f>ECO!P$24*J$55</f>
        <v>3088.185166125885</v>
      </c>
      <c r="K56" s="44">
        <f>ECO!Q$24*K$55</f>
        <v>2939.9599939433742</v>
      </c>
    </row>
    <row r="57" spans="1:11" ht="15">
      <c r="A57" s="64"/>
      <c r="B57" s="67"/>
      <c r="C57" s="43"/>
      <c r="D57" s="43"/>
      <c r="E57" s="43"/>
      <c r="F57" s="43"/>
      <c r="G57" s="43"/>
      <c r="H57" s="43"/>
      <c r="I57" s="43"/>
      <c r="J57" s="43"/>
      <c r="K57" s="44"/>
    </row>
    <row r="58" spans="1:11" ht="15">
      <c r="A58" s="95" t="s">
        <v>122</v>
      </c>
      <c r="B58" s="126">
        <f>B56</f>
        <v>4885.683359300005</v>
      </c>
      <c r="C58" s="118">
        <f>C56</f>
        <v>4346.555161585207</v>
      </c>
      <c r="D58" s="117">
        <f>D56</f>
        <v>4134.747038985739</v>
      </c>
      <c r="E58" s="117">
        <f aca="true" t="shared" si="17" ref="E58:J58">E56</f>
        <v>3930.7972240980916</v>
      </c>
      <c r="F58" s="117">
        <f t="shared" si="17"/>
        <v>3745.8401094148085</v>
      </c>
      <c r="G58" s="117">
        <f t="shared" si="17"/>
        <v>3565.628327954217</v>
      </c>
      <c r="H58" s="117">
        <f t="shared" si="17"/>
        <v>3400.4864895241462</v>
      </c>
      <c r="I58" s="117">
        <f t="shared" si="17"/>
        <v>3238.023502096882</v>
      </c>
      <c r="J58" s="117">
        <f t="shared" si="17"/>
        <v>3088.185166125885</v>
      </c>
      <c r="K58" s="116">
        <f>K56</f>
        <v>2939.9599939433742</v>
      </c>
    </row>
    <row r="59" spans="1:13" ht="15">
      <c r="A59" s="95" t="s">
        <v>146</v>
      </c>
      <c r="B59" s="197">
        <v>0</v>
      </c>
      <c r="C59" s="172">
        <v>0</v>
      </c>
      <c r="D59" s="173">
        <v>0</v>
      </c>
      <c r="E59" s="173">
        <v>0.25</v>
      </c>
      <c r="F59" s="173">
        <v>0.5</v>
      </c>
      <c r="G59" s="173">
        <v>0.75</v>
      </c>
      <c r="H59" s="173">
        <v>1</v>
      </c>
      <c r="I59" s="173">
        <v>1</v>
      </c>
      <c r="J59" s="173">
        <v>1</v>
      </c>
      <c r="K59" s="174">
        <v>1</v>
      </c>
      <c r="L59" s="203"/>
      <c r="M59" s="117"/>
    </row>
    <row r="60" spans="1:11" ht="15">
      <c r="A60" s="95" t="s">
        <v>147</v>
      </c>
      <c r="B60" s="195">
        <f aca="true" t="shared" si="18" ref="B60:K60">B58*B59</f>
        <v>0</v>
      </c>
      <c r="C60" s="195">
        <f t="shared" si="18"/>
        <v>0</v>
      </c>
      <c r="D60" s="97">
        <f t="shared" si="18"/>
        <v>0</v>
      </c>
      <c r="E60" s="97">
        <f t="shared" si="18"/>
        <v>982.6993060245229</v>
      </c>
      <c r="F60" s="97">
        <f t="shared" si="18"/>
        <v>1872.9200547074042</v>
      </c>
      <c r="G60" s="97">
        <f t="shared" si="18"/>
        <v>2674.221245965663</v>
      </c>
      <c r="H60" s="97">
        <f t="shared" si="18"/>
        <v>3400.4864895241462</v>
      </c>
      <c r="I60" s="97">
        <f t="shared" si="18"/>
        <v>3238.023502096882</v>
      </c>
      <c r="J60" s="97">
        <f t="shared" si="18"/>
        <v>3088.185166125885</v>
      </c>
      <c r="K60" s="196">
        <f t="shared" si="18"/>
        <v>2939.9599939433742</v>
      </c>
    </row>
    <row r="61" spans="1:11" ht="15">
      <c r="A61" s="190"/>
      <c r="B61" s="198"/>
      <c r="C61" s="198"/>
      <c r="D61" s="147"/>
      <c r="E61" s="147"/>
      <c r="F61" s="147"/>
      <c r="G61" s="147"/>
      <c r="H61" s="147"/>
      <c r="I61" s="147"/>
      <c r="J61" s="147"/>
      <c r="K61" s="199"/>
    </row>
    <row r="62" spans="1:11" ht="15">
      <c r="A62" s="95" t="s">
        <v>257</v>
      </c>
      <c r="B62" s="195">
        <f>100*4</f>
        <v>400</v>
      </c>
      <c r="C62" s="195">
        <f>B62*(1+ECO!I12)</f>
        <v>444.2026581746612</v>
      </c>
      <c r="D62" s="97">
        <f>C62*(1+ECO!J12)</f>
        <v>515.6283862977953</v>
      </c>
      <c r="E62" s="97">
        <f>D62*(1+ECO!K12)</f>
        <v>546.566089475663</v>
      </c>
      <c r="F62" s="97">
        <f>E62*(1+ECO!L12)</f>
        <v>579.3600548442029</v>
      </c>
      <c r="G62" s="97">
        <f>F62*(1+ECO!M12)</f>
        <v>614.121658134855</v>
      </c>
      <c r="H62" s="97">
        <f>G62*(1+ECO!N12)</f>
        <v>650.9689576229464</v>
      </c>
      <c r="I62" s="97">
        <f>H62*(1+ECO!O12)</f>
        <v>690.0270950803232</v>
      </c>
      <c r="J62" s="97">
        <f>I62*(1+ECO!P12)</f>
        <v>731.4287207851427</v>
      </c>
      <c r="K62" s="196">
        <f>J62*(1+ECO!Q12)</f>
        <v>775.3144440322512</v>
      </c>
    </row>
    <row r="63" spans="1:11" ht="15">
      <c r="A63" s="95" t="s">
        <v>259</v>
      </c>
      <c r="B63" s="195">
        <f aca="true" t="shared" si="19" ref="B63:K63">B62*B60/1000</f>
        <v>0</v>
      </c>
      <c r="C63" s="118">
        <f t="shared" si="19"/>
        <v>0</v>
      </c>
      <c r="D63" s="117">
        <f t="shared" si="19"/>
        <v>0</v>
      </c>
      <c r="E63" s="117">
        <f t="shared" si="19"/>
        <v>537.1101168242714</v>
      </c>
      <c r="F63" s="117">
        <f t="shared" si="19"/>
        <v>1085.0950656140892</v>
      </c>
      <c r="G63" s="117">
        <f t="shared" si="19"/>
        <v>1642.2971857918908</v>
      </c>
      <c r="H63" s="117">
        <f t="shared" si="19"/>
        <v>2213.6111454964457</v>
      </c>
      <c r="I63" s="117">
        <f t="shared" si="19"/>
        <v>2234.323950953726</v>
      </c>
      <c r="J63" s="117">
        <f t="shared" si="19"/>
        <v>2258.7873256071093</v>
      </c>
      <c r="K63" s="116">
        <f t="shared" si="19"/>
        <v>2279.393448181268</v>
      </c>
    </row>
    <row r="64" spans="1:11" ht="15">
      <c r="A64" s="95"/>
      <c r="B64" s="200"/>
      <c r="C64" s="147"/>
      <c r="D64" s="147" t="s">
        <v>0</v>
      </c>
      <c r="E64" s="147"/>
      <c r="F64" s="147"/>
      <c r="G64" s="147"/>
      <c r="H64" s="147"/>
      <c r="I64" s="147"/>
      <c r="J64" s="147"/>
      <c r="K64" s="199"/>
    </row>
    <row r="65" spans="1:12" ht="15">
      <c r="A65" s="184" t="s">
        <v>181</v>
      </c>
      <c r="B65" s="178">
        <f>15%*B63</f>
        <v>0</v>
      </c>
      <c r="C65" s="97">
        <f aca="true" t="shared" si="20" ref="C65:K65">15%*C63</f>
        <v>0</v>
      </c>
      <c r="D65" s="97">
        <f t="shared" si="20"/>
        <v>0</v>
      </c>
      <c r="E65" s="97">
        <f t="shared" si="20"/>
        <v>80.5665175236407</v>
      </c>
      <c r="F65" s="97">
        <f t="shared" si="20"/>
        <v>162.76425984211338</v>
      </c>
      <c r="G65" s="97">
        <f t="shared" si="20"/>
        <v>246.3445778687836</v>
      </c>
      <c r="H65" s="97">
        <f t="shared" si="20"/>
        <v>332.04167182446685</v>
      </c>
      <c r="I65" s="97">
        <f t="shared" si="20"/>
        <v>335.1485926430589</v>
      </c>
      <c r="J65" s="97">
        <f t="shared" si="20"/>
        <v>338.8180988410664</v>
      </c>
      <c r="K65" s="196">
        <f t="shared" si="20"/>
        <v>341.9090172271902</v>
      </c>
      <c r="L65" s="77" t="s">
        <v>254</v>
      </c>
    </row>
    <row r="66" spans="1:11" ht="15">
      <c r="A66" s="236"/>
      <c r="B66" s="178"/>
      <c r="C66" s="97"/>
      <c r="D66" s="97"/>
      <c r="E66" s="97"/>
      <c r="F66" s="97"/>
      <c r="G66" s="97"/>
      <c r="H66" s="97"/>
      <c r="I66" s="97"/>
      <c r="J66" s="97"/>
      <c r="K66" s="196"/>
    </row>
    <row r="67" spans="1:11" ht="15">
      <c r="A67" s="190" t="s">
        <v>258</v>
      </c>
      <c r="B67" s="263">
        <f>B63+B65</f>
        <v>0</v>
      </c>
      <c r="C67" s="209">
        <f aca="true" t="shared" si="21" ref="C67:K67">C63+C65</f>
        <v>0</v>
      </c>
      <c r="D67" s="210">
        <f t="shared" si="21"/>
        <v>0</v>
      </c>
      <c r="E67" s="210">
        <f t="shared" si="21"/>
        <v>617.6766343479121</v>
      </c>
      <c r="F67" s="210">
        <f t="shared" si="21"/>
        <v>1247.8593254562027</v>
      </c>
      <c r="G67" s="210">
        <f t="shared" si="21"/>
        <v>1888.6417636606743</v>
      </c>
      <c r="H67" s="210">
        <f t="shared" si="21"/>
        <v>2545.6528173209126</v>
      </c>
      <c r="I67" s="210">
        <f t="shared" si="21"/>
        <v>2569.472543596785</v>
      </c>
      <c r="J67" s="210">
        <f t="shared" si="21"/>
        <v>2597.6054244481757</v>
      </c>
      <c r="K67" s="211">
        <f t="shared" si="21"/>
        <v>2621.3024654084584</v>
      </c>
    </row>
    <row r="68" spans="1:11" ht="15">
      <c r="A68" s="190"/>
      <c r="B68" s="263"/>
      <c r="C68" s="210"/>
      <c r="D68" s="210"/>
      <c r="E68" s="210"/>
      <c r="F68" s="210"/>
      <c r="G68" s="210"/>
      <c r="H68" s="210"/>
      <c r="I68" s="210"/>
      <c r="J68" s="210"/>
      <c r="K68" s="211"/>
    </row>
    <row r="69" spans="1:11" ht="15">
      <c r="A69" s="190" t="s">
        <v>260</v>
      </c>
      <c r="B69" s="263">
        <f>B28</f>
        <v>0</v>
      </c>
      <c r="C69" s="210">
        <f aca="true" t="shared" si="22" ref="C69:K69">C28</f>
        <v>0</v>
      </c>
      <c r="D69" s="210">
        <f t="shared" si="22"/>
        <v>0</v>
      </c>
      <c r="E69" s="210">
        <f t="shared" si="22"/>
        <v>2007.4490616307144</v>
      </c>
      <c r="F69" s="210">
        <f t="shared" si="22"/>
        <v>4055.542807732658</v>
      </c>
      <c r="G69" s="210">
        <f t="shared" si="22"/>
        <v>6138.085731897193</v>
      </c>
      <c r="H69" s="210">
        <f t="shared" si="22"/>
        <v>8273.371656292964</v>
      </c>
      <c r="I69" s="210">
        <f t="shared" si="22"/>
        <v>8350.78576668955</v>
      </c>
      <c r="J69" s="210">
        <f t="shared" si="22"/>
        <v>8442.217629456572</v>
      </c>
      <c r="K69" s="211">
        <f t="shared" si="22"/>
        <v>8519.23301257749</v>
      </c>
    </row>
    <row r="70" spans="1:11" ht="15">
      <c r="A70" s="190"/>
      <c r="B70" s="263"/>
      <c r="C70" s="210"/>
      <c r="D70" s="210"/>
      <c r="E70" s="210"/>
      <c r="F70" s="210"/>
      <c r="G70" s="210"/>
      <c r="H70" s="210"/>
      <c r="I70" s="210"/>
      <c r="J70" s="210"/>
      <c r="K70" s="211"/>
    </row>
    <row r="71" spans="1:11" ht="15">
      <c r="A71" s="502" t="s">
        <v>261</v>
      </c>
      <c r="B71" s="498">
        <f>B67+B69</f>
        <v>0</v>
      </c>
      <c r="C71" s="500">
        <f aca="true" t="shared" si="23" ref="C71:K71">C67+C69</f>
        <v>0</v>
      </c>
      <c r="D71" s="500">
        <f t="shared" si="23"/>
        <v>0</v>
      </c>
      <c r="E71" s="500">
        <f t="shared" si="23"/>
        <v>2625.1256959786265</v>
      </c>
      <c r="F71" s="500">
        <f t="shared" si="23"/>
        <v>5303.402133188861</v>
      </c>
      <c r="G71" s="500">
        <f t="shared" si="23"/>
        <v>8026.727495557867</v>
      </c>
      <c r="H71" s="500">
        <f t="shared" si="23"/>
        <v>10819.024473613877</v>
      </c>
      <c r="I71" s="500">
        <f t="shared" si="23"/>
        <v>10920.258310286335</v>
      </c>
      <c r="J71" s="500">
        <f t="shared" si="23"/>
        <v>11039.823053904747</v>
      </c>
      <c r="K71" s="501">
        <f t="shared" si="23"/>
        <v>11140.535477985948</v>
      </c>
    </row>
    <row r="72" spans="1:11" ht="15">
      <c r="A72" s="502" t="s">
        <v>120</v>
      </c>
      <c r="B72" s="503">
        <f>B71/(ECO!H28*1000)</f>
        <v>0</v>
      </c>
      <c r="C72" s="504">
        <f>C71/(ECO!I28*1000)</f>
        <v>0</v>
      </c>
      <c r="D72" s="504">
        <f>D71/(ECO!J28*1000)</f>
        <v>0</v>
      </c>
      <c r="E72" s="504">
        <f>E71/(ECO!K28*1000)</f>
        <v>0.0002005059149069679</v>
      </c>
      <c r="F72" s="504">
        <f>F71/(ECO!L28*1000)</f>
        <v>0.0003736745447222639</v>
      </c>
      <c r="G72" s="504">
        <f>G71/(ECO!M28*1000)</f>
        <v>0.0005213877228125017</v>
      </c>
      <c r="H72" s="504">
        <f>H71/(ECO!N28*1000)</f>
        <v>0.0006476061238184838</v>
      </c>
      <c r="I72" s="504">
        <f>I71/(ECO!O28*1000)</f>
        <v>0.0006021594686943118</v>
      </c>
      <c r="J72" s="504">
        <f>J71/(ECO!P28*1000)</f>
        <v>0.0005608061847095951</v>
      </c>
      <c r="K72" s="505">
        <f>K71/(ECO!Q28*1000)</f>
        <v>0.0005210927396647556</v>
      </c>
    </row>
    <row r="73" spans="1:11" ht="15">
      <c r="A73" s="506" t="s">
        <v>123</v>
      </c>
      <c r="B73" s="507">
        <f>B71/('GGO (SQ)'!H11*1000)</f>
        <v>0</v>
      </c>
      <c r="C73" s="508">
        <f>C71/('GGO (SQ)'!I11*1000)</f>
        <v>0</v>
      </c>
      <c r="D73" s="508">
        <f>D71/('GGO (SQ)'!J11*1000)</f>
        <v>0</v>
      </c>
      <c r="E73" s="508">
        <f>E71/('GGO (SQ)'!K11*1000)</f>
        <v>0.0010160838157321052</v>
      </c>
      <c r="F73" s="508">
        <f>F71/('GGO (SQ)'!L11*1000)</f>
        <v>0.0019064957336949497</v>
      </c>
      <c r="G73" s="508">
        <f>G71/('GGO (SQ)'!M11*1000)</f>
        <v>0.002679357298119368</v>
      </c>
      <c r="H73" s="508">
        <f>H71/('GGO (SQ)'!N11*1000)</f>
        <v>0.003352727753052707</v>
      </c>
      <c r="I73" s="508">
        <f>I71/('GGO (SQ)'!O11*1000)</f>
        <v>0.0031409873944360784</v>
      </c>
      <c r="J73" s="508">
        <f>J71/('GGO (SQ)'!P11*1000)</f>
        <v>0.0029466039721885097</v>
      </c>
      <c r="K73" s="509">
        <f>K71/('GGO (SQ)'!Q11*1000)</f>
        <v>0.002758628279331599</v>
      </c>
    </row>
  </sheetData>
  <mergeCells count="6">
    <mergeCell ref="A54:K54"/>
    <mergeCell ref="J4:K4"/>
    <mergeCell ref="J5:K5"/>
    <mergeCell ref="L19:O21"/>
    <mergeCell ref="A10:K10"/>
    <mergeCell ref="A32:K32"/>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6" tint="-0.24997000396251678"/>
  </sheetPr>
  <dimension ref="A1:M59"/>
  <sheetViews>
    <sheetView workbookViewId="0" topLeftCell="A1">
      <pane ySplit="8" topLeftCell="A9" activePane="bottomLeft" state="frozen"/>
      <selection pane="bottomLeft" activeCell="A2" sqref="A2"/>
    </sheetView>
  </sheetViews>
  <sheetFormatPr defaultColWidth="8.8515625" defaultRowHeight="15"/>
  <cols>
    <col min="1" max="1" width="57.57421875" style="1" customWidth="1"/>
    <col min="2" max="3" width="10.7109375" style="38" customWidth="1"/>
    <col min="4" max="11" width="10.7109375" style="1" customWidth="1"/>
    <col min="12" max="12" width="223.57421875" style="1" bestFit="1" customWidth="1"/>
    <col min="13" max="16384" width="8.8515625" style="1" customWidth="1"/>
  </cols>
  <sheetData>
    <row r="1" ht="18.75">
      <c r="A1" s="579" t="s">
        <v>128</v>
      </c>
    </row>
    <row r="2" spans="9:11" ht="15">
      <c r="I2" s="518" t="s">
        <v>32</v>
      </c>
      <c r="J2" s="519"/>
      <c r="K2" s="519" t="str">
        <f ca="1">CELL("contents",README!I6)</f>
        <v>1.1</v>
      </c>
    </row>
    <row r="3" spans="9:11" ht="15">
      <c r="I3" s="518" t="s">
        <v>28</v>
      </c>
      <c r="J3" s="519"/>
      <c r="K3" s="519" t="str">
        <f ca="1">IF(README!I7="","",CELL("contents",README!I7))</f>
        <v>Coresia</v>
      </c>
    </row>
    <row r="4" spans="9:11" ht="15">
      <c r="I4" s="518" t="s">
        <v>33</v>
      </c>
      <c r="J4" s="602">
        <f ca="1">CELL("contents",README!H8)</f>
        <v>41565</v>
      </c>
      <c r="K4" s="602"/>
    </row>
    <row r="5" spans="9:11" ht="15">
      <c r="I5" s="518" t="s">
        <v>25</v>
      </c>
      <c r="J5" s="602">
        <f ca="1">CELL("contents",README!H9)</f>
        <v>41605</v>
      </c>
      <c r="K5" s="602"/>
    </row>
    <row r="6" spans="9:11" ht="15">
      <c r="I6" s="518" t="s">
        <v>26</v>
      </c>
      <c r="J6" s="519"/>
      <c r="K6" s="519" t="str">
        <f ca="1">IF(README!I10="","",CELL("contents",README!I10))</f>
        <v>ABND guide</v>
      </c>
    </row>
    <row r="8" spans="1:12" ht="15">
      <c r="A8" s="313" t="s">
        <v>220</v>
      </c>
      <c r="B8" s="66">
        <v>2011</v>
      </c>
      <c r="C8" s="58">
        <v>2012</v>
      </c>
      <c r="D8" s="58">
        <v>2013</v>
      </c>
      <c r="E8" s="58">
        <v>2014</v>
      </c>
      <c r="F8" s="58">
        <v>2015</v>
      </c>
      <c r="G8" s="58">
        <v>2016</v>
      </c>
      <c r="H8" s="58">
        <v>2017</v>
      </c>
      <c r="I8" s="58">
        <v>2018</v>
      </c>
      <c r="J8" s="58">
        <v>2019</v>
      </c>
      <c r="K8" s="58">
        <v>2020</v>
      </c>
      <c r="L8" s="59" t="s">
        <v>304</v>
      </c>
    </row>
    <row r="9" spans="1:11" ht="15">
      <c r="A9" s="314"/>
      <c r="B9" s="102"/>
      <c r="C9" s="103"/>
      <c r="D9" s="104"/>
      <c r="E9" s="104"/>
      <c r="F9" s="104"/>
      <c r="G9" s="104"/>
      <c r="H9" s="104"/>
      <c r="I9" s="104"/>
      <c r="J9" s="104"/>
      <c r="K9" s="105"/>
    </row>
    <row r="10" spans="1:11" ht="15">
      <c r="A10" s="605" t="s">
        <v>263</v>
      </c>
      <c r="B10" s="605"/>
      <c r="C10" s="605"/>
      <c r="D10" s="605"/>
      <c r="E10" s="605"/>
      <c r="F10" s="605"/>
      <c r="G10" s="605"/>
      <c r="H10" s="605"/>
      <c r="I10" s="605"/>
      <c r="J10" s="605"/>
      <c r="K10" s="605"/>
    </row>
    <row r="11" spans="1:11" ht="15">
      <c r="A11" s="65" t="s">
        <v>264</v>
      </c>
      <c r="B11" s="42">
        <f>SUM(POP!H$224:H$238)</f>
        <v>12469.847931007138</v>
      </c>
      <c r="C11" s="42">
        <f>SUM(POP!I$224:I$238)</f>
        <v>12295.764162307234</v>
      </c>
      <c r="D11" s="43">
        <f>SUM(POP!J$224:J$238)</f>
        <v>12122.703573612038</v>
      </c>
      <c r="E11" s="43">
        <f>SUM(POP!K$224:K$238)</f>
        <v>11954.110168278681</v>
      </c>
      <c r="F11" s="43">
        <f>SUM(POP!L$224:L$238)</f>
        <v>11792.805125976607</v>
      </c>
      <c r="G11" s="43">
        <f>SUM(POP!M$224:M$238)</f>
        <v>11640.687727411674</v>
      </c>
      <c r="H11" s="43">
        <f>SUM(POP!N$224:N$238)</f>
        <v>11493.125232367032</v>
      </c>
      <c r="I11" s="43">
        <f>SUM(POP!O$224:O$238)</f>
        <v>11350.63897010102</v>
      </c>
      <c r="J11" s="43">
        <f>SUM(POP!P$224:P$238)</f>
        <v>11213.38442777204</v>
      </c>
      <c r="K11" s="44">
        <f>SUM(POP!Q$224:Q$238)</f>
        <v>11081.418784285246</v>
      </c>
    </row>
    <row r="12" spans="1:11" ht="15">
      <c r="A12" s="64"/>
      <c r="B12" s="67"/>
      <c r="C12" s="43"/>
      <c r="D12" s="43"/>
      <c r="E12" s="43"/>
      <c r="F12" s="43"/>
      <c r="G12" s="43"/>
      <c r="H12" s="43"/>
      <c r="I12" s="43"/>
      <c r="J12" s="43"/>
      <c r="K12" s="44"/>
    </row>
    <row r="13" spans="1:11" s="77" customFormat="1" ht="15">
      <c r="A13" s="95" t="s">
        <v>122</v>
      </c>
      <c r="B13" s="118">
        <f>25%*B$11</f>
        <v>3117.4619827517845</v>
      </c>
      <c r="C13" s="118">
        <f aca="true" t="shared" si="0" ref="C13:K13">25%*C$11</f>
        <v>3073.9410405768085</v>
      </c>
      <c r="D13" s="117">
        <f t="shared" si="0"/>
        <v>3030.6758934030095</v>
      </c>
      <c r="E13" s="117">
        <f t="shared" si="0"/>
        <v>2988.5275420696703</v>
      </c>
      <c r="F13" s="117">
        <f t="shared" si="0"/>
        <v>2948.2012814941518</v>
      </c>
      <c r="G13" s="117">
        <f t="shared" si="0"/>
        <v>2910.1719318529185</v>
      </c>
      <c r="H13" s="117">
        <f t="shared" si="0"/>
        <v>2873.281308091758</v>
      </c>
      <c r="I13" s="117">
        <f t="shared" si="0"/>
        <v>2837.659742525255</v>
      </c>
      <c r="J13" s="117">
        <f t="shared" si="0"/>
        <v>2803.34610694301</v>
      </c>
      <c r="K13" s="116">
        <f t="shared" si="0"/>
        <v>2770.3546960713115</v>
      </c>
    </row>
    <row r="14" spans="1:13" s="77" customFormat="1" ht="15">
      <c r="A14" s="95" t="s">
        <v>146</v>
      </c>
      <c r="B14" s="197">
        <v>0</v>
      </c>
      <c r="C14" s="173">
        <v>0</v>
      </c>
      <c r="D14" s="201">
        <v>0</v>
      </c>
      <c r="E14" s="201">
        <v>0.25</v>
      </c>
      <c r="F14" s="201">
        <v>0.5</v>
      </c>
      <c r="G14" s="201">
        <v>0.75</v>
      </c>
      <c r="H14" s="201">
        <v>1</v>
      </c>
      <c r="I14" s="201">
        <v>1</v>
      </c>
      <c r="J14" s="201">
        <v>1</v>
      </c>
      <c r="K14" s="202">
        <v>1</v>
      </c>
      <c r="L14" s="203"/>
      <c r="M14" s="117"/>
    </row>
    <row r="15" spans="1:11" s="77" customFormat="1" ht="15">
      <c r="A15" s="95" t="s">
        <v>147</v>
      </c>
      <c r="B15" s="118">
        <f aca="true" t="shared" si="1" ref="B15:K15">B13*B14</f>
        <v>0</v>
      </c>
      <c r="C15" s="118">
        <f t="shared" si="1"/>
        <v>0</v>
      </c>
      <c r="D15" s="117">
        <f t="shared" si="1"/>
        <v>0</v>
      </c>
      <c r="E15" s="117">
        <f t="shared" si="1"/>
        <v>747.1318855174176</v>
      </c>
      <c r="F15" s="117">
        <f t="shared" si="1"/>
        <v>1474.1006407470759</v>
      </c>
      <c r="G15" s="117">
        <f t="shared" si="1"/>
        <v>2182.628948889689</v>
      </c>
      <c r="H15" s="117">
        <f t="shared" si="1"/>
        <v>2873.281308091758</v>
      </c>
      <c r="I15" s="117">
        <f t="shared" si="1"/>
        <v>2837.659742525255</v>
      </c>
      <c r="J15" s="117">
        <f t="shared" si="1"/>
        <v>2803.34610694301</v>
      </c>
      <c r="K15" s="116">
        <f t="shared" si="1"/>
        <v>2770.3546960713115</v>
      </c>
    </row>
    <row r="16" spans="1:11" s="77" customFormat="1" ht="15">
      <c r="A16" s="190"/>
      <c r="B16" s="175"/>
      <c r="C16" s="204"/>
      <c r="D16" s="120"/>
      <c r="E16" s="120"/>
      <c r="F16" s="120"/>
      <c r="G16" s="120"/>
      <c r="H16" s="120"/>
      <c r="I16" s="120"/>
      <c r="J16" s="120"/>
      <c r="K16" s="177"/>
    </row>
    <row r="17" spans="1:12" s="77" customFormat="1" ht="15">
      <c r="A17" s="95" t="s">
        <v>182</v>
      </c>
      <c r="B17" s="126">
        <v>3000</v>
      </c>
      <c r="C17" s="117">
        <f>B17*(1+ECO!I9)</f>
        <v>3090.9</v>
      </c>
      <c r="D17" s="117">
        <f>C17*(1+ECO!J9)</f>
        <v>3165.69978</v>
      </c>
      <c r="E17" s="117">
        <f>D17*(1+ECO!K9)</f>
        <v>3246.108554412</v>
      </c>
      <c r="F17" s="117">
        <f>E17*(1+ECO!L9)</f>
        <v>3326.2874357059763</v>
      </c>
      <c r="G17" s="117">
        <f>F17*(1+ECO!M9)</f>
        <v>3409.1119928550547</v>
      </c>
      <c r="H17" s="117">
        <f>G17*(1+ECO!N9)</f>
        <v>3494.680703875716</v>
      </c>
      <c r="I17" s="117">
        <f>H17*(1+ECO!O9)</f>
        <v>3583.0961256837722</v>
      </c>
      <c r="J17" s="117">
        <f>I17*(1+ECO!P9)</f>
        <v>3671.240290375593</v>
      </c>
      <c r="K17" s="116">
        <f>J17*(1+ECO!Q9)</f>
        <v>3764.8569177801705</v>
      </c>
      <c r="L17" s="131"/>
    </row>
    <row r="18" spans="1:11" s="77" customFormat="1" ht="15">
      <c r="A18" s="95" t="s">
        <v>187</v>
      </c>
      <c r="B18" s="118">
        <f>B17*B15/1000</f>
        <v>0</v>
      </c>
      <c r="C18" s="118">
        <f>C17*C15/1000</f>
        <v>0</v>
      </c>
      <c r="D18" s="117">
        <f>D17*D15/1000</f>
        <v>0</v>
      </c>
      <c r="E18" s="117">
        <f aca="true" t="shared" si="2" ref="E18:J18">E17*E15/1000</f>
        <v>2425.271204852056</v>
      </c>
      <c r="F18" s="117">
        <f t="shared" si="2"/>
        <v>4903.282440283128</v>
      </c>
      <c r="G18" s="117">
        <f t="shared" si="2"/>
        <v>7440.826525612461</v>
      </c>
      <c r="H18" s="117">
        <f t="shared" si="2"/>
        <v>10041.200744195045</v>
      </c>
      <c r="I18" s="117">
        <f t="shared" si="2"/>
        <v>10167.607629451051</v>
      </c>
      <c r="J18" s="117">
        <f t="shared" si="2"/>
        <v>10291.757175676745</v>
      </c>
      <c r="K18" s="116">
        <f>K17*K15/1000</f>
        <v>10429.98904220886</v>
      </c>
    </row>
    <row r="19" spans="1:11" s="77" customFormat="1" ht="15">
      <c r="A19" s="95"/>
      <c r="B19" s="205"/>
      <c r="C19" s="147"/>
      <c r="D19" s="147"/>
      <c r="E19" s="147"/>
      <c r="F19" s="147"/>
      <c r="G19" s="147"/>
      <c r="H19" s="147"/>
      <c r="I19" s="147"/>
      <c r="J19" s="147"/>
      <c r="K19" s="199"/>
    </row>
    <row r="20" spans="1:12" s="77" customFormat="1" ht="15">
      <c r="A20" s="95" t="s">
        <v>230</v>
      </c>
      <c r="B20" s="118">
        <f>15%*B18</f>
        <v>0</v>
      </c>
      <c r="C20" s="118">
        <f aca="true" t="shared" si="3" ref="C20:K20">15%*C18</f>
        <v>0</v>
      </c>
      <c r="D20" s="117">
        <f t="shared" si="3"/>
        <v>0</v>
      </c>
      <c r="E20" s="117">
        <f t="shared" si="3"/>
        <v>363.7906807278084</v>
      </c>
      <c r="F20" s="117">
        <f t="shared" si="3"/>
        <v>735.4923660424693</v>
      </c>
      <c r="G20" s="117">
        <f t="shared" si="3"/>
        <v>1116.123978841869</v>
      </c>
      <c r="H20" s="117">
        <f t="shared" si="3"/>
        <v>1506.1801116292565</v>
      </c>
      <c r="I20" s="117">
        <f t="shared" si="3"/>
        <v>1525.1411444176576</v>
      </c>
      <c r="J20" s="117">
        <f t="shared" si="3"/>
        <v>1543.7635763515116</v>
      </c>
      <c r="K20" s="116">
        <f t="shared" si="3"/>
        <v>1564.4983563313288</v>
      </c>
      <c r="L20" s="223" t="s">
        <v>265</v>
      </c>
    </row>
    <row r="21" spans="1:11" s="77" customFormat="1" ht="15">
      <c r="A21" s="95"/>
      <c r="B21" s="126"/>
      <c r="C21" s="117"/>
      <c r="D21" s="117"/>
      <c r="E21" s="117"/>
      <c r="F21" s="117"/>
      <c r="G21" s="117"/>
      <c r="H21" s="117"/>
      <c r="I21" s="117"/>
      <c r="J21" s="117"/>
      <c r="K21" s="116"/>
    </row>
    <row r="22" spans="1:11" ht="15">
      <c r="A22" s="502" t="s">
        <v>189</v>
      </c>
      <c r="B22" s="499">
        <f>B18+B20</f>
        <v>0</v>
      </c>
      <c r="C22" s="499">
        <f aca="true" t="shared" si="4" ref="C22:K22">C18+C20</f>
        <v>0</v>
      </c>
      <c r="D22" s="500">
        <f t="shared" si="4"/>
        <v>0</v>
      </c>
      <c r="E22" s="500">
        <f t="shared" si="4"/>
        <v>2789.061885579865</v>
      </c>
      <c r="F22" s="500">
        <f t="shared" si="4"/>
        <v>5638.774806325598</v>
      </c>
      <c r="G22" s="500">
        <f t="shared" si="4"/>
        <v>8556.950504454331</v>
      </c>
      <c r="H22" s="500">
        <f t="shared" si="4"/>
        <v>11547.380855824302</v>
      </c>
      <c r="I22" s="500">
        <f t="shared" si="4"/>
        <v>11692.748773868709</v>
      </c>
      <c r="J22" s="500">
        <f t="shared" si="4"/>
        <v>11835.520752028257</v>
      </c>
      <c r="K22" s="501">
        <f t="shared" si="4"/>
        <v>11994.487398540188</v>
      </c>
    </row>
    <row r="23" spans="1:11" ht="15">
      <c r="A23" s="502" t="s">
        <v>120</v>
      </c>
      <c r="B23" s="512">
        <f>B22/(ECO!H28*1000)</f>
        <v>0</v>
      </c>
      <c r="C23" s="512">
        <f>C22/(ECO!I28*1000)</f>
        <v>0</v>
      </c>
      <c r="D23" s="504">
        <f>D22/(ECO!J28*1000)</f>
        <v>0</v>
      </c>
      <c r="E23" s="504">
        <f>E22/(ECO!K28*1000)</f>
        <v>0.0002130272870198201</v>
      </c>
      <c r="F23" s="504">
        <f>F22/(ECO!L28*1000)</f>
        <v>0.0003973047028357512</v>
      </c>
      <c r="G23" s="504">
        <f>G22/(ECO!M28*1000)</f>
        <v>0.000555829127151233</v>
      </c>
      <c r="H23" s="504">
        <f>H22/(ECO!N28*1000)</f>
        <v>0.0006912041445635269</v>
      </c>
      <c r="I23" s="504">
        <f>I22/(ECO!O28*1000)</f>
        <v>0.0006447557547806973</v>
      </c>
      <c r="J23" s="504">
        <f>J22/(ECO!P28*1000)</f>
        <v>0.0006012264150056796</v>
      </c>
      <c r="K23" s="505">
        <f>K22/(ECO!Q28*1000)</f>
        <v>0.0005610358956021788</v>
      </c>
    </row>
    <row r="24" spans="1:11" ht="15">
      <c r="A24" s="506" t="s">
        <v>123</v>
      </c>
      <c r="B24" s="513">
        <f>B22/('GGO (SQ)'!H11*1000)</f>
        <v>0</v>
      </c>
      <c r="C24" s="513">
        <f>C22/('GGO (SQ)'!I11*1000)</f>
        <v>0</v>
      </c>
      <c r="D24" s="508">
        <f>D22/('GGO (SQ)'!J11*1000)</f>
        <v>0</v>
      </c>
      <c r="E24" s="508">
        <f>E22/('GGO (SQ)'!K11*1000)</f>
        <v>0.0010795371236334288</v>
      </c>
      <c r="F24" s="508">
        <f>F22/('GGO (SQ)'!L11*1000)</f>
        <v>0.0020270573193480078</v>
      </c>
      <c r="G24" s="508">
        <f>G22/('GGO (SQ)'!M11*1000)</f>
        <v>0.0028563480940949097</v>
      </c>
      <c r="H24" s="508">
        <f>H22/('GGO (SQ)'!N11*1000)</f>
        <v>0.0035784394762034964</v>
      </c>
      <c r="I24" s="508">
        <f>I22/('GGO (SQ)'!O11*1000)</f>
        <v>0.0033631783664343127</v>
      </c>
      <c r="J24" s="508">
        <f>J22/('GGO (SQ)'!P11*1000)</f>
        <v>0.0031589811078096015</v>
      </c>
      <c r="K24" s="509">
        <f>K22/('GGO (SQ)'!Q11*1000)</f>
        <v>0.0029700845349025693</v>
      </c>
    </row>
    <row r="25" spans="1:11" ht="15">
      <c r="A25" s="63"/>
      <c r="B25" s="108"/>
      <c r="C25" s="108"/>
      <c r="D25" s="108"/>
      <c r="E25" s="108"/>
      <c r="F25" s="108"/>
      <c r="G25" s="108"/>
      <c r="H25" s="108"/>
      <c r="I25" s="108"/>
      <c r="J25" s="108"/>
      <c r="K25" s="100"/>
    </row>
    <row r="26" spans="1:11" ht="15">
      <c r="A26" s="605" t="s">
        <v>307</v>
      </c>
      <c r="B26" s="605"/>
      <c r="C26" s="605"/>
      <c r="D26" s="605"/>
      <c r="E26" s="605"/>
      <c r="F26" s="605"/>
      <c r="G26" s="605"/>
      <c r="H26" s="605"/>
      <c r="I26" s="605"/>
      <c r="J26" s="605"/>
      <c r="K26" s="605"/>
    </row>
    <row r="27" spans="1:11" ht="15">
      <c r="A27" s="65" t="s">
        <v>264</v>
      </c>
      <c r="B27" s="67">
        <f>SUM(POP!H$224:H$238)</f>
        <v>12469.847931007138</v>
      </c>
      <c r="C27" s="43">
        <f>SUM(POP!I$224:I$238)</f>
        <v>12295.764162307234</v>
      </c>
      <c r="D27" s="43">
        <f>SUM(POP!J$224:J$238)</f>
        <v>12122.703573612038</v>
      </c>
      <c r="E27" s="43">
        <f>SUM(POP!K$224:K$238)</f>
        <v>11954.110168278681</v>
      </c>
      <c r="F27" s="43">
        <f>SUM(POP!L$224:L$238)</f>
        <v>11792.805125976607</v>
      </c>
      <c r="G27" s="43">
        <f>SUM(POP!M$224:M$238)</f>
        <v>11640.687727411674</v>
      </c>
      <c r="H27" s="43">
        <f>SUM(POP!N$224:N$238)</f>
        <v>11493.125232367032</v>
      </c>
      <c r="I27" s="43">
        <f>SUM(POP!O$224:O$238)</f>
        <v>11350.63897010102</v>
      </c>
      <c r="J27" s="43">
        <f>SUM(POP!P$224:P$238)</f>
        <v>11213.38442777204</v>
      </c>
      <c r="K27" s="44">
        <f>SUM(POP!Q$224:Q$238)</f>
        <v>11081.418784285246</v>
      </c>
    </row>
    <row r="28" spans="1:11" ht="15">
      <c r="A28" s="65" t="s">
        <v>231</v>
      </c>
      <c r="B28" s="67">
        <f>ECO!H$21*B$27</f>
        <v>1421.9911056687556</v>
      </c>
      <c r="C28" s="42">
        <f>ECO!I$21*C$27</f>
        <v>1214.4866443932333</v>
      </c>
      <c r="D28" s="43">
        <f>ECO!J$21*D$27</f>
        <v>1136.116158144889</v>
      </c>
      <c r="E28" s="43">
        <f>ECO!K$21*E$27</f>
        <v>1061.2831776501048</v>
      </c>
      <c r="F28" s="43">
        <f>ECO!L$21*F$27</f>
        <v>992.836264713845</v>
      </c>
      <c r="G28" s="43">
        <f>ECO!M$21*G$27</f>
        <v>926.8057086259657</v>
      </c>
      <c r="H28" s="43">
        <f>ECO!N$21*H$27</f>
        <v>865.7724087792245</v>
      </c>
      <c r="I28" s="43">
        <f>ECO!O$21*I$27</f>
        <v>806.4362187774742</v>
      </c>
      <c r="J28" s="43">
        <f>ECO!P$21*J$27</f>
        <v>751.2068659210775</v>
      </c>
      <c r="K28" s="44">
        <f>ECO!Q$21*K$27</f>
        <v>697.2875410129528</v>
      </c>
    </row>
    <row r="29" spans="1:11" s="77" customFormat="1" ht="15">
      <c r="A29" s="206"/>
      <c r="B29" s="126"/>
      <c r="C29" s="117"/>
      <c r="D29" s="117"/>
      <c r="E29" s="117"/>
      <c r="F29" s="117"/>
      <c r="G29" s="117"/>
      <c r="H29" s="117"/>
      <c r="I29" s="117"/>
      <c r="J29" s="117"/>
      <c r="K29" s="116"/>
    </row>
    <row r="30" spans="1:11" s="77" customFormat="1" ht="15">
      <c r="A30" s="95" t="s">
        <v>122</v>
      </c>
      <c r="B30" s="118">
        <f>B28</f>
        <v>1421.9911056687556</v>
      </c>
      <c r="C30" s="118">
        <f aca="true" t="shared" si="5" ref="C30:K30">C28</f>
        <v>1214.4866443932333</v>
      </c>
      <c r="D30" s="117">
        <f t="shared" si="5"/>
        <v>1136.116158144889</v>
      </c>
      <c r="E30" s="117">
        <f t="shared" si="5"/>
        <v>1061.2831776501048</v>
      </c>
      <c r="F30" s="117">
        <f t="shared" si="5"/>
        <v>992.836264713845</v>
      </c>
      <c r="G30" s="117">
        <f t="shared" si="5"/>
        <v>926.8057086259657</v>
      </c>
      <c r="H30" s="117">
        <f t="shared" si="5"/>
        <v>865.7724087792245</v>
      </c>
      <c r="I30" s="117">
        <f t="shared" si="5"/>
        <v>806.4362187774742</v>
      </c>
      <c r="J30" s="117">
        <f t="shared" si="5"/>
        <v>751.2068659210775</v>
      </c>
      <c r="K30" s="116">
        <f t="shared" si="5"/>
        <v>697.2875410129528</v>
      </c>
    </row>
    <row r="31" spans="1:11" s="77" customFormat="1" ht="15">
      <c r="A31" s="95" t="s">
        <v>146</v>
      </c>
      <c r="B31" s="197">
        <v>0</v>
      </c>
      <c r="C31" s="173">
        <v>0</v>
      </c>
      <c r="D31" s="201">
        <v>0</v>
      </c>
      <c r="E31" s="201">
        <v>0.25</v>
      </c>
      <c r="F31" s="201">
        <v>0.5</v>
      </c>
      <c r="G31" s="201">
        <v>0.75</v>
      </c>
      <c r="H31" s="201">
        <v>1</v>
      </c>
      <c r="I31" s="201">
        <v>1</v>
      </c>
      <c r="J31" s="201">
        <v>1</v>
      </c>
      <c r="K31" s="202">
        <v>1</v>
      </c>
    </row>
    <row r="32" spans="1:11" s="77" customFormat="1" ht="15">
      <c r="A32" s="95" t="s">
        <v>147</v>
      </c>
      <c r="B32" s="118">
        <f aca="true" t="shared" si="6" ref="B32:K32">B30*B31</f>
        <v>0</v>
      </c>
      <c r="C32" s="118">
        <f t="shared" si="6"/>
        <v>0</v>
      </c>
      <c r="D32" s="117">
        <f t="shared" si="6"/>
        <v>0</v>
      </c>
      <c r="E32" s="117">
        <f t="shared" si="6"/>
        <v>265.3207944125262</v>
      </c>
      <c r="F32" s="117">
        <f t="shared" si="6"/>
        <v>496.4181323569225</v>
      </c>
      <c r="G32" s="117">
        <f t="shared" si="6"/>
        <v>695.1042814694742</v>
      </c>
      <c r="H32" s="117">
        <f t="shared" si="6"/>
        <v>865.7724087792245</v>
      </c>
      <c r="I32" s="117">
        <f t="shared" si="6"/>
        <v>806.4362187774742</v>
      </c>
      <c r="J32" s="117">
        <f t="shared" si="6"/>
        <v>751.2068659210775</v>
      </c>
      <c r="K32" s="116">
        <f t="shared" si="6"/>
        <v>697.2875410129528</v>
      </c>
    </row>
    <row r="33" spans="1:11" s="77" customFormat="1" ht="15">
      <c r="A33" s="190"/>
      <c r="B33" s="175"/>
      <c r="C33" s="204"/>
      <c r="D33" s="120"/>
      <c r="E33" s="120"/>
      <c r="F33" s="120"/>
      <c r="G33" s="120"/>
      <c r="H33" s="120"/>
      <c r="I33" s="120"/>
      <c r="J33" s="120"/>
      <c r="K33" s="177"/>
    </row>
    <row r="34" spans="1:11" s="77" customFormat="1" ht="15">
      <c r="A34" s="95" t="s">
        <v>182</v>
      </c>
      <c r="B34" s="126">
        <v>4000</v>
      </c>
      <c r="C34" s="117">
        <f>B34*(1+ECO!I9)</f>
        <v>4121.2</v>
      </c>
      <c r="D34" s="117">
        <f>C34*(1+ECO!J9)</f>
        <v>4220.93304</v>
      </c>
      <c r="E34" s="117">
        <f>D34*(1+ECO!K9)</f>
        <v>4328.144739216</v>
      </c>
      <c r="F34" s="117">
        <f>E34*(1+ECO!L9)</f>
        <v>4435.049914274635</v>
      </c>
      <c r="G34" s="117">
        <f>F34*(1+ECO!M9)</f>
        <v>4545.482657140073</v>
      </c>
      <c r="H34" s="117">
        <f>G34*(1+ECO!N9)</f>
        <v>4659.574271834288</v>
      </c>
      <c r="I34" s="117">
        <f>H34*(1+ECO!O9)</f>
        <v>4777.461500911696</v>
      </c>
      <c r="J34" s="117">
        <f>I34*(1+ECO!P9)</f>
        <v>4894.987053834124</v>
      </c>
      <c r="K34" s="116">
        <f>J34*(1+ECO!Q9)</f>
        <v>5019.809223706894</v>
      </c>
    </row>
    <row r="35" spans="1:11" s="77" customFormat="1" ht="15">
      <c r="A35" s="95" t="s">
        <v>187</v>
      </c>
      <c r="B35" s="118">
        <f>B34*B32/1000</f>
        <v>0</v>
      </c>
      <c r="C35" s="118">
        <f>C34*C32/1000</f>
        <v>0</v>
      </c>
      <c r="D35" s="117">
        <f>D34*D32/1000</f>
        <v>0</v>
      </c>
      <c r="E35" s="117">
        <f aca="true" t="shared" si="7" ref="E35:J35">E34*E32/1000</f>
        <v>1148.346800541185</v>
      </c>
      <c r="F35" s="117">
        <f t="shared" si="7"/>
        <v>2201.6391953539433</v>
      </c>
      <c r="G35" s="117">
        <f t="shared" si="7"/>
        <v>3159.5844563233068</v>
      </c>
      <c r="H35" s="117">
        <f t="shared" si="7"/>
        <v>4034.1308412116728</v>
      </c>
      <c r="I35" s="117">
        <f t="shared" si="7"/>
        <v>3852.717988150185</v>
      </c>
      <c r="J35" s="117">
        <f t="shared" si="7"/>
        <v>3677.1478834349805</v>
      </c>
      <c r="K35" s="116">
        <f>K34*K32/1000</f>
        <v>3500.2504299527195</v>
      </c>
    </row>
    <row r="36" spans="1:11" s="77" customFormat="1" ht="15">
      <c r="A36" s="95"/>
      <c r="B36" s="205"/>
      <c r="C36" s="147"/>
      <c r="D36" s="147"/>
      <c r="E36" s="147"/>
      <c r="F36" s="147"/>
      <c r="G36" s="147"/>
      <c r="H36" s="147"/>
      <c r="I36" s="147"/>
      <c r="J36" s="147"/>
      <c r="K36" s="199"/>
    </row>
    <row r="37" spans="1:12" s="77" customFormat="1" ht="15">
      <c r="A37" s="95" t="s">
        <v>230</v>
      </c>
      <c r="B37" s="118">
        <f>15%*B35</f>
        <v>0</v>
      </c>
      <c r="C37" s="118">
        <f aca="true" t="shared" si="8" ref="C37:K37">15%*C35</f>
        <v>0</v>
      </c>
      <c r="D37" s="117">
        <f t="shared" si="8"/>
        <v>0</v>
      </c>
      <c r="E37" s="117">
        <f t="shared" si="8"/>
        <v>172.25202008117776</v>
      </c>
      <c r="F37" s="117">
        <f t="shared" si="8"/>
        <v>330.2458793030915</v>
      </c>
      <c r="G37" s="117">
        <f t="shared" si="8"/>
        <v>473.93766844849597</v>
      </c>
      <c r="H37" s="117">
        <f t="shared" si="8"/>
        <v>605.1196261817508</v>
      </c>
      <c r="I37" s="117">
        <f t="shared" si="8"/>
        <v>577.9076982225278</v>
      </c>
      <c r="J37" s="117">
        <f t="shared" si="8"/>
        <v>551.572182515247</v>
      </c>
      <c r="K37" s="116">
        <f t="shared" si="8"/>
        <v>525.0375644929079</v>
      </c>
      <c r="L37" s="223" t="s">
        <v>265</v>
      </c>
    </row>
    <row r="38" spans="1:11" ht="15">
      <c r="A38" s="65"/>
      <c r="B38" s="67"/>
      <c r="C38" s="43"/>
      <c r="D38" s="43"/>
      <c r="E38" s="43"/>
      <c r="F38" s="43"/>
      <c r="G38" s="43"/>
      <c r="H38" s="43"/>
      <c r="I38" s="43"/>
      <c r="J38" s="43"/>
      <c r="K38" s="44"/>
    </row>
    <row r="39" spans="1:11" ht="15">
      <c r="A39" s="502" t="s">
        <v>190</v>
      </c>
      <c r="B39" s="498">
        <f>B35+B37</f>
        <v>0</v>
      </c>
      <c r="C39" s="500">
        <f aca="true" t="shared" si="9" ref="C39:K39">C35+C37</f>
        <v>0</v>
      </c>
      <c r="D39" s="500">
        <f t="shared" si="9"/>
        <v>0</v>
      </c>
      <c r="E39" s="500">
        <f t="shared" si="9"/>
        <v>1320.5988206223628</v>
      </c>
      <c r="F39" s="500">
        <f t="shared" si="9"/>
        <v>2531.8850746570347</v>
      </c>
      <c r="G39" s="500">
        <f t="shared" si="9"/>
        <v>3633.5221247718027</v>
      </c>
      <c r="H39" s="500">
        <f t="shared" si="9"/>
        <v>4639.250467393424</v>
      </c>
      <c r="I39" s="500">
        <f t="shared" si="9"/>
        <v>4430.625686372713</v>
      </c>
      <c r="J39" s="500">
        <f t="shared" si="9"/>
        <v>4228.720065950228</v>
      </c>
      <c r="K39" s="501">
        <f t="shared" si="9"/>
        <v>4025.287994445627</v>
      </c>
    </row>
    <row r="40" spans="1:11" ht="15">
      <c r="A40" s="502" t="s">
        <v>120</v>
      </c>
      <c r="B40" s="512">
        <f>B39/(ECO!H28*1000)</f>
        <v>0</v>
      </c>
      <c r="C40" s="512">
        <f>C39/(ECO!I28*1000)</f>
        <v>0</v>
      </c>
      <c r="D40" s="504">
        <f>D39/(ECO!J28*1000)</f>
        <v>0</v>
      </c>
      <c r="E40" s="504">
        <f>E39/(ECO!K28*1000)</f>
        <v>0.0001008667414134007</v>
      </c>
      <c r="F40" s="504">
        <f>F39/(ECO!L28*1000)</f>
        <v>0.0001783951091773396</v>
      </c>
      <c r="G40" s="504">
        <f>G39/(ECO!M28*1000)</f>
        <v>0.00023602069803317085</v>
      </c>
      <c r="H40" s="504">
        <f>H39/(ECO!N28*1000)</f>
        <v>0.00027769666479071956</v>
      </c>
      <c r="I40" s="504">
        <f>I39/(ECO!O28*1000)</f>
        <v>0.0002443113645742697</v>
      </c>
      <c r="J40" s="504">
        <f>J39/(ECO!P28*1000)</f>
        <v>0.000214812534114998</v>
      </c>
      <c r="K40" s="505">
        <f>K39/(ECO!Q28*1000)</f>
        <v>0.00018828074764540208</v>
      </c>
    </row>
    <row r="41" spans="1:11" ht="15">
      <c r="A41" s="506" t="s">
        <v>123</v>
      </c>
      <c r="B41" s="513">
        <f>B39/('GGO (SQ)'!H11*1000)</f>
        <v>0</v>
      </c>
      <c r="C41" s="513">
        <f>C39/('GGO (SQ)'!I11*1000)</f>
        <v>0</v>
      </c>
      <c r="D41" s="508">
        <f>D39/('GGO (SQ)'!J11*1000)</f>
        <v>0</v>
      </c>
      <c r="E41" s="508">
        <f>E39/('GGO (SQ)'!K11*1000)</f>
        <v>0.0005111523195879049</v>
      </c>
      <c r="F41" s="508">
        <f>F39/('GGO (SQ)'!L11*1000)</f>
        <v>0.0009101757648796532</v>
      </c>
      <c r="G41" s="508">
        <f>G39/('GGO (SQ)'!M11*1000)</f>
        <v>0.001212885827788887</v>
      </c>
      <c r="H41" s="508">
        <f>H39/('GGO (SQ)'!N11*1000)</f>
        <v>0.0014376660144661939</v>
      </c>
      <c r="I41" s="508">
        <f>I39/('GGO (SQ)'!O11*1000)</f>
        <v>0.0012743782275967507</v>
      </c>
      <c r="J41" s="508">
        <f>J39/('GGO (SQ)'!P11*1000)</f>
        <v>0.0011286741900446502</v>
      </c>
      <c r="K41" s="509">
        <f>K39/('GGO (SQ)'!Q11*1000)</f>
        <v>0.0009967450232418434</v>
      </c>
    </row>
    <row r="42" spans="1:13" ht="15">
      <c r="A42" s="315"/>
      <c r="B42" s="261"/>
      <c r="C42" s="261"/>
      <c r="D42" s="261"/>
      <c r="E42" s="261"/>
      <c r="F42" s="261"/>
      <c r="G42" s="261"/>
      <c r="H42" s="261"/>
      <c r="I42" s="261"/>
      <c r="J42" s="261"/>
      <c r="K42" s="262"/>
      <c r="L42" s="6"/>
      <c r="M42" s="43"/>
    </row>
    <row r="43" spans="1:11" ht="15">
      <c r="A43" s="605" t="s">
        <v>269</v>
      </c>
      <c r="B43" s="605"/>
      <c r="C43" s="605"/>
      <c r="D43" s="605"/>
      <c r="E43" s="605"/>
      <c r="F43" s="605"/>
      <c r="G43" s="605"/>
      <c r="H43" s="605"/>
      <c r="I43" s="605"/>
      <c r="J43" s="605"/>
      <c r="K43" s="605"/>
    </row>
    <row r="44" spans="1:11" ht="15">
      <c r="A44" s="65" t="s">
        <v>266</v>
      </c>
      <c r="B44" s="42">
        <f>SUM(POP!H$227:H$238)</f>
        <v>10207.272273067718</v>
      </c>
      <c r="C44" s="42">
        <f>SUM(POP!I$227:I$238)</f>
        <v>10040.914469938412</v>
      </c>
      <c r="D44" s="43">
        <f>SUM(POP!J$227:J$238)</f>
        <v>9863.748159223103</v>
      </c>
      <c r="E44" s="43">
        <f>SUM(POP!K$227:K$238)</f>
        <v>9715.078446334313</v>
      </c>
      <c r="F44" s="43">
        <f>SUM(POP!L$227:L$238)</f>
        <v>9571.969651699606</v>
      </c>
      <c r="G44" s="43">
        <f>SUM(POP!M$227:M$238)</f>
        <v>9436.506245670516</v>
      </c>
      <c r="H44" s="43">
        <f>SUM(POP!N$227:N$238)</f>
        <v>9309.982079104042</v>
      </c>
      <c r="I44" s="43">
        <f>SUM(POP!O$227:O$238)</f>
        <v>9193.12969084433</v>
      </c>
      <c r="J44" s="43">
        <f>SUM(POP!P$227:P$238)</f>
        <v>9086.359771464327</v>
      </c>
      <c r="K44" s="44">
        <f>SUM(POP!Q$227:Q$238)</f>
        <v>8984.34188427678</v>
      </c>
    </row>
    <row r="45" spans="1:11" ht="15">
      <c r="A45" s="64"/>
      <c r="B45" s="67"/>
      <c r="C45" s="43"/>
      <c r="D45" s="43"/>
      <c r="E45" s="43"/>
      <c r="F45" s="43"/>
      <c r="G45" s="43"/>
      <c r="H45" s="43"/>
      <c r="I45" s="43"/>
      <c r="J45" s="43"/>
      <c r="K45" s="44"/>
    </row>
    <row r="46" spans="1:11" s="77" customFormat="1" ht="15">
      <c r="A46" s="95" t="s">
        <v>122</v>
      </c>
      <c r="B46" s="126">
        <f aca="true" t="shared" si="10" ref="B46:K46">B44</f>
        <v>10207.272273067718</v>
      </c>
      <c r="C46" s="117">
        <f t="shared" si="10"/>
        <v>10040.914469938412</v>
      </c>
      <c r="D46" s="117">
        <f t="shared" si="10"/>
        <v>9863.748159223103</v>
      </c>
      <c r="E46" s="117">
        <f t="shared" si="10"/>
        <v>9715.078446334313</v>
      </c>
      <c r="F46" s="117">
        <f t="shared" si="10"/>
        <v>9571.969651699606</v>
      </c>
      <c r="G46" s="117">
        <f t="shared" si="10"/>
        <v>9436.506245670516</v>
      </c>
      <c r="H46" s="117">
        <f t="shared" si="10"/>
        <v>9309.982079104042</v>
      </c>
      <c r="I46" s="117">
        <f t="shared" si="10"/>
        <v>9193.12969084433</v>
      </c>
      <c r="J46" s="117">
        <f t="shared" si="10"/>
        <v>9086.359771464327</v>
      </c>
      <c r="K46" s="116">
        <f t="shared" si="10"/>
        <v>8984.34188427678</v>
      </c>
    </row>
    <row r="47" spans="1:12" s="77" customFormat="1" ht="15">
      <c r="A47" s="95" t="s">
        <v>146</v>
      </c>
      <c r="B47" s="197">
        <v>0</v>
      </c>
      <c r="C47" s="173">
        <v>0</v>
      </c>
      <c r="D47" s="173">
        <v>0</v>
      </c>
      <c r="E47" s="173">
        <v>0.27</v>
      </c>
      <c r="F47" s="173">
        <v>0.5</v>
      </c>
      <c r="G47" s="173">
        <v>0.75</v>
      </c>
      <c r="H47" s="173">
        <v>1</v>
      </c>
      <c r="I47" s="173">
        <v>1</v>
      </c>
      <c r="J47" s="173">
        <v>1</v>
      </c>
      <c r="K47" s="174">
        <v>1</v>
      </c>
      <c r="L47" s="77" t="s">
        <v>267</v>
      </c>
    </row>
    <row r="48" spans="1:11" s="77" customFormat="1" ht="15">
      <c r="A48" s="95" t="s">
        <v>147</v>
      </c>
      <c r="B48" s="126">
        <f aca="true" t="shared" si="11" ref="B48:K48">B46*B47</f>
        <v>0</v>
      </c>
      <c r="C48" s="117">
        <f t="shared" si="11"/>
        <v>0</v>
      </c>
      <c r="D48" s="117">
        <f t="shared" si="11"/>
        <v>0</v>
      </c>
      <c r="E48" s="117">
        <f t="shared" si="11"/>
        <v>2623.0711805102646</v>
      </c>
      <c r="F48" s="117">
        <f t="shared" si="11"/>
        <v>4785.984825849803</v>
      </c>
      <c r="G48" s="117">
        <f t="shared" si="11"/>
        <v>7077.379684252887</v>
      </c>
      <c r="H48" s="117">
        <f t="shared" si="11"/>
        <v>9309.982079104042</v>
      </c>
      <c r="I48" s="117">
        <f t="shared" si="11"/>
        <v>9193.12969084433</v>
      </c>
      <c r="J48" s="117">
        <f t="shared" si="11"/>
        <v>9086.359771464327</v>
      </c>
      <c r="K48" s="116">
        <f t="shared" si="11"/>
        <v>8984.34188427678</v>
      </c>
    </row>
    <row r="49" spans="1:11" s="77" customFormat="1" ht="15">
      <c r="A49" s="190"/>
      <c r="B49" s="145"/>
      <c r="C49" s="136"/>
      <c r="D49" s="147"/>
      <c r="E49" s="147"/>
      <c r="F49" s="147"/>
      <c r="G49" s="147"/>
      <c r="H49" s="147"/>
      <c r="I49" s="147"/>
      <c r="J49" s="147"/>
      <c r="K49" s="199"/>
    </row>
    <row r="50" spans="1:11" s="77" customFormat="1" ht="15">
      <c r="A50" s="95" t="s">
        <v>153</v>
      </c>
      <c r="B50" s="126">
        <v>15</v>
      </c>
      <c r="C50" s="117">
        <f>B50*(1+ECO!I9)</f>
        <v>15.4545</v>
      </c>
      <c r="D50" s="117">
        <f>C50*(1+ECO!J9)</f>
        <v>15.8284989</v>
      </c>
      <c r="E50" s="117">
        <f>D50*(1+ECO!K9)</f>
        <v>16.23054277206</v>
      </c>
      <c r="F50" s="117">
        <f>E50*(1+ECO!L9)</f>
        <v>16.631437178529882</v>
      </c>
      <c r="G50" s="117">
        <f>F50*(1+ECO!M9)</f>
        <v>17.045559964275274</v>
      </c>
      <c r="H50" s="117">
        <f>G50*(1+ECO!N9)</f>
        <v>17.473403519378582</v>
      </c>
      <c r="I50" s="117">
        <f>H50*(1+ECO!O9)</f>
        <v>17.915480628418862</v>
      </c>
      <c r="J50" s="117">
        <f>I50*(1+ECO!P9)</f>
        <v>18.356201451877965</v>
      </c>
      <c r="K50" s="116">
        <f>J50*(1+ECO!Q9)</f>
        <v>18.824284588900856</v>
      </c>
    </row>
    <row r="51" spans="1:11" s="77" customFormat="1" ht="15">
      <c r="A51" s="95" t="s">
        <v>154</v>
      </c>
      <c r="B51" s="126">
        <v>8</v>
      </c>
      <c r="C51" s="117">
        <f>B51*(1+ECO!I9)</f>
        <v>8.2424</v>
      </c>
      <c r="D51" s="117">
        <f>C51*(1+ECO!J9)</f>
        <v>8.44186608</v>
      </c>
      <c r="E51" s="117">
        <f>D51*(1+ECO!K9)</f>
        <v>8.656289478432</v>
      </c>
      <c r="F51" s="117">
        <f>E51*(1+ECO!L9)</f>
        <v>8.870099828549272</v>
      </c>
      <c r="G51" s="117">
        <f>F51*(1+ECO!M9)</f>
        <v>9.090965314280147</v>
      </c>
      <c r="H51" s="117">
        <f>G51*(1+ECO!N9)</f>
        <v>9.319148543668579</v>
      </c>
      <c r="I51" s="117">
        <f>H51*(1+ECO!O9)</f>
        <v>9.554923001823395</v>
      </c>
      <c r="J51" s="117">
        <f>I51*(1+ECO!P9)</f>
        <v>9.78997410766825</v>
      </c>
      <c r="K51" s="116">
        <f>J51*(1+ECO!Q9)</f>
        <v>10.039618447413792</v>
      </c>
    </row>
    <row r="52" spans="1:12" s="77" customFormat="1" ht="15">
      <c r="A52" s="95" t="s">
        <v>183</v>
      </c>
      <c r="B52" s="126">
        <f>(B50+B51)*210</f>
        <v>4830</v>
      </c>
      <c r="C52" s="117">
        <f aca="true" t="shared" si="12" ref="C52:K52">(C50+C51)*210</f>
        <v>4976.349</v>
      </c>
      <c r="D52" s="117">
        <f t="shared" si="12"/>
        <v>5096.7766458</v>
      </c>
      <c r="E52" s="117">
        <f t="shared" si="12"/>
        <v>5226.23477260332</v>
      </c>
      <c r="F52" s="117">
        <f t="shared" si="12"/>
        <v>5355.3227714866225</v>
      </c>
      <c r="G52" s="117">
        <f t="shared" si="12"/>
        <v>5488.670308496638</v>
      </c>
      <c r="H52" s="117">
        <f t="shared" si="12"/>
        <v>5626.4359332399035</v>
      </c>
      <c r="I52" s="117">
        <f t="shared" si="12"/>
        <v>5768.784762350874</v>
      </c>
      <c r="J52" s="117">
        <f t="shared" si="12"/>
        <v>5910.696867504706</v>
      </c>
      <c r="K52" s="116">
        <f t="shared" si="12"/>
        <v>6061.419637626076</v>
      </c>
      <c r="L52" s="77" t="s">
        <v>315</v>
      </c>
    </row>
    <row r="53" spans="1:11" s="77" customFormat="1" ht="15">
      <c r="A53" s="95" t="s">
        <v>187</v>
      </c>
      <c r="B53" s="126">
        <f>B52*B48/1000</f>
        <v>0</v>
      </c>
      <c r="C53" s="118">
        <f aca="true" t="shared" si="13" ref="C53:K53">C52*C48/1000</f>
        <v>0</v>
      </c>
      <c r="D53" s="117">
        <f t="shared" si="13"/>
        <v>0</v>
      </c>
      <c r="E53" s="117">
        <f t="shared" si="13"/>
        <v>13708.785814596387</v>
      </c>
      <c r="F53" s="117">
        <f t="shared" si="13"/>
        <v>25630.493521862885</v>
      </c>
      <c r="G53" s="117">
        <f t="shared" si="13"/>
        <v>38845.40373491614</v>
      </c>
      <c r="H53" s="117">
        <f t="shared" si="13"/>
        <v>52382.01770769053</v>
      </c>
      <c r="I53" s="117">
        <f t="shared" si="13"/>
        <v>53033.186478858166</v>
      </c>
      <c r="J53" s="117">
        <f t="shared" si="13"/>
        <v>53706.71823821497</v>
      </c>
      <c r="K53" s="116">
        <f t="shared" si="13"/>
        <v>54457.86632850174</v>
      </c>
    </row>
    <row r="54" spans="1:11" s="77" customFormat="1" ht="15">
      <c r="A54" s="95"/>
      <c r="B54" s="126"/>
      <c r="C54" s="117"/>
      <c r="D54" s="117"/>
      <c r="E54" s="117"/>
      <c r="F54" s="117"/>
      <c r="G54" s="117"/>
      <c r="H54" s="117"/>
      <c r="I54" s="117"/>
      <c r="J54" s="117"/>
      <c r="K54" s="116"/>
    </row>
    <row r="55" spans="1:12" s="77" customFormat="1" ht="15">
      <c r="A55" s="184" t="s">
        <v>197</v>
      </c>
      <c r="B55" s="126">
        <f>5%*B53</f>
        <v>0</v>
      </c>
      <c r="C55" s="118">
        <f aca="true" t="shared" si="14" ref="C55:K55">5%*C53</f>
        <v>0</v>
      </c>
      <c r="D55" s="117">
        <f t="shared" si="14"/>
        <v>0</v>
      </c>
      <c r="E55" s="117">
        <f t="shared" si="14"/>
        <v>685.4392907298194</v>
      </c>
      <c r="F55" s="117">
        <f t="shared" si="14"/>
        <v>1281.5246760931443</v>
      </c>
      <c r="G55" s="117">
        <f t="shared" si="14"/>
        <v>1942.270186745807</v>
      </c>
      <c r="H55" s="117">
        <f t="shared" si="14"/>
        <v>2619.100885384527</v>
      </c>
      <c r="I55" s="117">
        <f t="shared" si="14"/>
        <v>2651.6593239429085</v>
      </c>
      <c r="J55" s="117">
        <f t="shared" si="14"/>
        <v>2685.3359119107486</v>
      </c>
      <c r="K55" s="116">
        <f t="shared" si="14"/>
        <v>2722.893316425087</v>
      </c>
      <c r="L55" s="77" t="s">
        <v>268</v>
      </c>
    </row>
    <row r="56" spans="1:11" ht="15">
      <c r="A56" s="65"/>
      <c r="B56" s="67"/>
      <c r="C56" s="43"/>
      <c r="D56" s="43"/>
      <c r="E56" s="43"/>
      <c r="F56" s="43"/>
      <c r="G56" s="43"/>
      <c r="H56" s="43"/>
      <c r="I56" s="43"/>
      <c r="J56" s="43"/>
      <c r="K56" s="44"/>
    </row>
    <row r="57" spans="1:11" ht="15">
      <c r="A57" s="502" t="s">
        <v>191</v>
      </c>
      <c r="B57" s="499">
        <f>B53+B55</f>
        <v>0</v>
      </c>
      <c r="C57" s="499">
        <f aca="true" t="shared" si="15" ref="C57:K57">C53+C55</f>
        <v>0</v>
      </c>
      <c r="D57" s="500">
        <f t="shared" si="15"/>
        <v>0</v>
      </c>
      <c r="E57" s="500">
        <f t="shared" si="15"/>
        <v>14394.225105326206</v>
      </c>
      <c r="F57" s="500">
        <f t="shared" si="15"/>
        <v>26912.01819795603</v>
      </c>
      <c r="G57" s="500">
        <f t="shared" si="15"/>
        <v>40787.673921661946</v>
      </c>
      <c r="H57" s="500">
        <f t="shared" si="15"/>
        <v>55001.11859307506</v>
      </c>
      <c r="I57" s="500">
        <f t="shared" si="15"/>
        <v>55684.84580280107</v>
      </c>
      <c r="J57" s="500">
        <f t="shared" si="15"/>
        <v>56392.05415012572</v>
      </c>
      <c r="K57" s="501">
        <f t="shared" si="15"/>
        <v>57180.759644926824</v>
      </c>
    </row>
    <row r="58" spans="1:11" ht="15">
      <c r="A58" s="502" t="s">
        <v>120</v>
      </c>
      <c r="B58" s="512">
        <f>B57/(ECO!H28*1000)</f>
        <v>0</v>
      </c>
      <c r="C58" s="512">
        <f>C57/(ECO!I28*1000)</f>
        <v>0</v>
      </c>
      <c r="D58" s="504">
        <f>D57/(ECO!J28*1000)</f>
        <v>0</v>
      </c>
      <c r="E58" s="504">
        <f>E57/(ECO!K28*1000)</f>
        <v>0.0010994244117687292</v>
      </c>
      <c r="F58" s="504">
        <f>F57/(ECO!L28*1000)</f>
        <v>0.0018962047182403208</v>
      </c>
      <c r="G58" s="504">
        <f>G57/(ECO!M28*1000)</f>
        <v>0.0026494224995931744</v>
      </c>
      <c r="H58" s="504">
        <f>H57/(ECO!N28*1000)</f>
        <v>0.0032922618212586634</v>
      </c>
      <c r="I58" s="504">
        <f>I57/(ECO!O28*1000)</f>
        <v>0.0030705461546962406</v>
      </c>
      <c r="J58" s="504">
        <f>J57/(ECO!P28*1000)</f>
        <v>0.002864630400455851</v>
      </c>
      <c r="K58" s="505">
        <f>K57/(ECO!Q28*1000)</f>
        <v>0.0026746002253092414</v>
      </c>
    </row>
    <row r="59" spans="1:11" ht="15">
      <c r="A59" s="506" t="s">
        <v>123</v>
      </c>
      <c r="B59" s="513">
        <f>B57/('GGO (SQ)'!H11*1000)</f>
        <v>0</v>
      </c>
      <c r="C59" s="514">
        <f>C57/('GGO (SQ)'!I11*1000)</f>
        <v>0</v>
      </c>
      <c r="D59" s="508">
        <f>D57/('GGO (SQ)'!J11*1000)</f>
        <v>0</v>
      </c>
      <c r="E59" s="508">
        <f>E57/('GGO (SQ)'!K11*1000)</f>
        <v>0.005571443375809231</v>
      </c>
      <c r="F59" s="508">
        <f>F57/('GGO (SQ)'!L11*1000)</f>
        <v>0.00967447811630936</v>
      </c>
      <c r="G59" s="508">
        <f>G57/('GGO (SQ)'!M11*1000)</f>
        <v>0.013615106761229664</v>
      </c>
      <c r="H59" s="508">
        <f>H57/('GGO (SQ)'!N11*1000)</f>
        <v>0.017044399631933695</v>
      </c>
      <c r="I59" s="508">
        <f>I57/('GGO (SQ)'!O11*1000)</f>
        <v>0.0160165990362117</v>
      </c>
      <c r="J59" s="508">
        <f>J57/('GGO (SQ)'!P11*1000)</f>
        <v>0.015051423374023914</v>
      </c>
      <c r="K59" s="509">
        <f>K57/('GGO (SQ)'!Q11*1000)</f>
        <v>0.014159145303370596</v>
      </c>
    </row>
  </sheetData>
  <mergeCells count="5">
    <mergeCell ref="J4:K4"/>
    <mergeCell ref="J5:K5"/>
    <mergeCell ref="A10:K10"/>
    <mergeCell ref="A26:K26"/>
    <mergeCell ref="A43:K43"/>
  </mergeCells>
  <printOptions/>
  <pageMargins left="0.7" right="0.7" top="0.75" bottom="0.75" header="0.3" footer="0.3"/>
  <pageSetup horizontalDpi="600" verticalDpi="600" orientation="portrait" paperSize="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Valerie Schmitt; Loveleen De</dc:creator>
  <cp:keywords/>
  <dc:description>Assumptions checked by Hiroshi Yamabana</dc:description>
  <cp:lastModifiedBy>Loveleen</cp:lastModifiedBy>
  <cp:lastPrinted>2013-10-29T06:03:49Z</cp:lastPrinted>
  <dcterms:created xsi:type="dcterms:W3CDTF">2011-01-04T14:43:36Z</dcterms:created>
  <dcterms:modified xsi:type="dcterms:W3CDTF">2014-05-23T07:17:09Z</dcterms:modified>
  <cp:category/>
  <cp:version/>
  <cp:contentType/>
  <cp:contentStatus/>
</cp:coreProperties>
</file>